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Default Extension="vml" ContentType="application/vnd.openxmlformats-officedocument.vmlDrawing"/>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3" activeTab="23"/>
  </bookViews>
  <sheets>
    <sheet name="All HEIs" sheetId="1" state="hidden" r:id="rId1"/>
    <sheet name="Adjusted Summary All HEIs" sheetId="2" state="hidden" r:id="rId2"/>
    <sheet name="Summary Final" sheetId="3" state="hidden" r:id="rId3"/>
    <sheet name="Summary" sheetId="4" state="hidden" r:id="rId4"/>
    <sheet name="Summary 2A" sheetId="5" state="hidden" r:id="rId5"/>
    <sheet name="Summary3" sheetId="6" state="hidden" r:id="rId6"/>
    <sheet name="Adjusted Final" sheetId="7" state="hidden" r:id="rId7"/>
    <sheet name="Summary Original" sheetId="8" state="hidden" r:id="rId8"/>
    <sheet name="PDN" sheetId="9" state="hidden" r:id="rId9"/>
    <sheet name="CMB" sheetId="10" state="hidden" r:id="rId10"/>
    <sheet name="SJP" sheetId="11" state="hidden" r:id="rId11"/>
    <sheet name="KLN" sheetId="12" state="hidden" r:id="rId12"/>
    <sheet name="MRT" sheetId="13" state="hidden" r:id="rId13"/>
    <sheet name="RUH" sheetId="14" state="hidden" r:id="rId14"/>
    <sheet name="UJA" sheetId="15" state="hidden" r:id="rId15"/>
    <sheet name="OUSL" sheetId="16" state="hidden" r:id="rId16"/>
    <sheet name="EUSL" sheetId="17" state="hidden" r:id="rId17"/>
    <sheet name="Trinco" sheetId="18" state="hidden" r:id="rId18"/>
    <sheet name="RUSL" sheetId="19" state="hidden" r:id="rId19"/>
    <sheet name="SUSL" sheetId="20" state="hidden" r:id="rId20"/>
    <sheet name="SEUSL" sheetId="21" state="hidden" r:id="rId21"/>
    <sheet name="WUSL" sheetId="22" state="hidden" r:id="rId22"/>
    <sheet name="UVPA" sheetId="23" state="hidden" r:id="rId23"/>
    <sheet name="annex i" sheetId="24" r:id="rId24"/>
    <sheet name="Total" sheetId="25" state="hidden" r:id="rId25"/>
    <sheet name="PGIM" sheetId="26" state="hidden" r:id="rId26"/>
    <sheet name="PBS" sheetId="27" state="hidden" r:id="rId27"/>
    <sheet name="IIM" sheetId="28" state="hidden" r:id="rId28"/>
    <sheet name="GWAI" sheetId="29" state="hidden" r:id="rId29"/>
    <sheet name="Released" sheetId="30" state="hidden" r:id="rId30"/>
    <sheet name="Released final" sheetId="31" state="hidden" r:id="rId31"/>
    <sheet name="Sheet2" sheetId="32" state="hidden" r:id="rId3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6">'Adjusted Final'!$A$1:$I$28</definedName>
    <definedName name="_xlnm.Print_Area" localSheetId="1">'Adjusted Summary All HEIs'!$A$1:$J$26</definedName>
    <definedName name="_xlnm.Print_Area" localSheetId="0">'All HEIs'!$A$1:$I$37</definedName>
    <definedName name="_xlnm.Print_Area" localSheetId="23">'annex i'!$A$1:$J$15</definedName>
    <definedName name="_xlnm.Print_Area" localSheetId="9">'CMB'!$A$1:$I$17</definedName>
    <definedName name="_xlnm.Print_Area" localSheetId="16">'EUSL'!$A$1:$I$17</definedName>
    <definedName name="_xlnm.Print_Area" localSheetId="28">'GWAI'!$A$1:$I$17</definedName>
    <definedName name="_xlnm.Print_Area" localSheetId="27">'IIM'!$A$1:$I$17</definedName>
    <definedName name="_xlnm.Print_Area" localSheetId="11">'KLN'!$A$1:$I$17</definedName>
    <definedName name="_xlnm.Print_Area" localSheetId="12">'MRT'!$A$1:$I$17</definedName>
    <definedName name="_xlnm.Print_Area" localSheetId="26">'PBS'!$A$1:$I$18</definedName>
    <definedName name="_xlnm.Print_Area" localSheetId="8">'PDN'!$A$1:$I$18</definedName>
    <definedName name="_xlnm.Print_Area" localSheetId="25">'PGIM'!$A$1:$I$17</definedName>
    <definedName name="_xlnm.Print_Area" localSheetId="29">'Released'!$A$1:$I$38</definedName>
    <definedName name="_xlnm.Print_Area" localSheetId="30">'Released final'!$A$1:$I$38</definedName>
    <definedName name="_xlnm.Print_Area" localSheetId="13">'RUH'!$A$1:$I$18</definedName>
    <definedName name="_xlnm.Print_Area" localSheetId="18">'RUSL'!$A$1:$I$19</definedName>
    <definedName name="_xlnm.Print_Area" localSheetId="20">'SEUSL'!$A$1:$I$17</definedName>
    <definedName name="_xlnm.Print_Area" localSheetId="10">'SJP'!$A$1:$I$19</definedName>
    <definedName name="_xlnm.Print_Area" localSheetId="3">'Summary'!$A$1:$K$26</definedName>
    <definedName name="_xlnm.Print_Area" localSheetId="2">'Summary Final'!$A$1:$K$25</definedName>
    <definedName name="_xlnm.Print_Area" localSheetId="7">'Summary Original'!$A$1:$K$25</definedName>
    <definedName name="_xlnm.Print_Area" localSheetId="19">'SUSL'!$A$1:$I$17</definedName>
    <definedName name="_xlnm.Print_Area" localSheetId="17">'Trinco'!$A$1:$I$17</definedName>
    <definedName name="_xlnm.Print_Area" localSheetId="14">'UJA'!$A$1:$I$18</definedName>
    <definedName name="_xlnm.Print_Area" localSheetId="22">'UVPA'!$A$1:$I$17</definedName>
    <definedName name="_xlnm.Print_Area" localSheetId="21">'WUSL'!$A$1:$I$17</definedName>
  </definedNames>
  <calcPr fullCalcOnLoad="1"/>
</workbook>
</file>

<file path=xl/comments30.xml><?xml version="1.0" encoding="utf-8"?>
<comments xmlns="http://schemas.openxmlformats.org/spreadsheetml/2006/main">
  <authors>
    <author>Author</author>
  </authors>
  <commentList>
    <comment ref="D5" authorId="0">
      <text>
        <r>
          <rPr>
            <b/>
            <sz val="9"/>
            <rFont val="Tahoma"/>
            <family val="2"/>
          </rPr>
          <t>Author:</t>
        </r>
        <r>
          <rPr>
            <sz val="9"/>
            <rFont val="Tahoma"/>
            <family val="2"/>
          </rPr>
          <t xml:space="preserve">
Actual released</t>
        </r>
      </text>
    </comment>
  </commentList>
</comments>
</file>

<file path=xl/comments31.xml><?xml version="1.0" encoding="utf-8"?>
<comments xmlns="http://schemas.openxmlformats.org/spreadsheetml/2006/main">
  <authors>
    <author>Author</author>
  </authors>
  <commentList>
    <comment ref="D5" authorId="0">
      <text>
        <r>
          <rPr>
            <b/>
            <sz val="9"/>
            <rFont val="Tahoma"/>
            <family val="2"/>
          </rPr>
          <t>Author:</t>
        </r>
        <r>
          <rPr>
            <sz val="9"/>
            <rFont val="Tahoma"/>
            <family val="2"/>
          </rPr>
          <t xml:space="preserve">
Actual released</t>
        </r>
      </text>
    </comment>
  </commentList>
</comments>
</file>

<file path=xl/sharedStrings.xml><?xml version="1.0" encoding="utf-8"?>
<sst xmlns="http://schemas.openxmlformats.org/spreadsheetml/2006/main" count="1049" uniqueCount="188">
  <si>
    <t>Item</t>
  </si>
  <si>
    <t>%</t>
  </si>
  <si>
    <t>Rehabilitation of &amp; Improvement</t>
  </si>
  <si>
    <t>Construction Projects</t>
  </si>
  <si>
    <t>Technology Stream</t>
  </si>
  <si>
    <t>Total</t>
  </si>
  <si>
    <t>Expenditure up to 30.09.2016</t>
  </si>
  <si>
    <t>Rs. Million</t>
  </si>
  <si>
    <t>Sub Total</t>
  </si>
  <si>
    <t xml:space="preserve">Form </t>
  </si>
  <si>
    <t>2 - A</t>
  </si>
  <si>
    <t>Acquisition of Fixed Assets</t>
  </si>
  <si>
    <t>Human Capital Development Projects</t>
  </si>
  <si>
    <t>Establishment of Engineering Faculties - (Note I)</t>
  </si>
  <si>
    <t>Staff Quarters  - (Note I)</t>
  </si>
  <si>
    <t xml:space="preserve"> Note I : If relevant only</t>
  </si>
  <si>
    <t>Summary - Financial Progress on Capital Projects as at 30.09.2016</t>
  </si>
  <si>
    <t>(Refer: National Budget Circular No. 06/2015)</t>
  </si>
  <si>
    <t>Annex II</t>
  </si>
  <si>
    <t>………………………………..</t>
  </si>
  <si>
    <t>Bursar</t>
  </si>
  <si>
    <t>HEI : University of Peradeniya</t>
  </si>
  <si>
    <t>Allocation 2016</t>
  </si>
  <si>
    <t>HEI : University of Colombo</t>
  </si>
  <si>
    <t>HEI : University of Kelaniya</t>
  </si>
  <si>
    <t>HEI : University of Moratuwa</t>
  </si>
  <si>
    <t>HEI : University of Jaffna</t>
  </si>
  <si>
    <t>HEI : University of Ruhuna</t>
  </si>
  <si>
    <t>HEI : Eastern University, Sri Lanka</t>
  </si>
  <si>
    <t>HEI : Rajarata University of Sri Lanka</t>
  </si>
  <si>
    <t>HEI : Sabaragamuwa University of Sri Lanka</t>
  </si>
  <si>
    <t>HEI : South Eastern University of Sri Lanka</t>
  </si>
  <si>
    <t>HEI : Wayamba University of Sri Lanka</t>
  </si>
  <si>
    <t>HEI : University of the Visual &amp; Performing Arts</t>
  </si>
  <si>
    <t>HEI : Trincomalee Campus</t>
  </si>
  <si>
    <t>Eng. Faculty Rs. 300mn includes</t>
  </si>
  <si>
    <t>HEI : Summary Universities &amp; Trinco</t>
  </si>
  <si>
    <t>HEI : Open University of Sri Lanka</t>
  </si>
  <si>
    <t>Committed Expenditure up to 30.09.2016</t>
  </si>
  <si>
    <t>Target Expenditure October - December 2016</t>
  </si>
  <si>
    <t>Reasons for slow progress (if any)</t>
  </si>
  <si>
    <t>HEI : Postgraduate Institute of Medicine</t>
  </si>
  <si>
    <t>HEI : Postgraduate Institute of Pali &amp; Buddhist Studies</t>
  </si>
  <si>
    <t>HEI : Institute of Indigenous Medicine</t>
  </si>
  <si>
    <t>HEI : Gampaha Wickramarachchi Ayurveda Institute</t>
  </si>
  <si>
    <t>Infrastructure for PGIPBS</t>
  </si>
  <si>
    <t>Summary - Form 2 - A &amp; 3</t>
  </si>
  <si>
    <t>PDN</t>
  </si>
  <si>
    <r>
      <t>CMB</t>
    </r>
    <r>
      <rPr>
        <b/>
        <sz val="8"/>
        <rFont val="Times New Roman"/>
        <family val="1"/>
      </rPr>
      <t>/ Sripalee Campus</t>
    </r>
  </si>
  <si>
    <t>SJP</t>
  </si>
  <si>
    <t>KLN</t>
  </si>
  <si>
    <t>MRT</t>
  </si>
  <si>
    <t>UJA / Vavuniya Campus</t>
  </si>
  <si>
    <t>RUH</t>
  </si>
  <si>
    <t>EUSL</t>
  </si>
  <si>
    <t>RUSL</t>
  </si>
  <si>
    <t>SUSL</t>
  </si>
  <si>
    <t>SEUSL</t>
  </si>
  <si>
    <t>WUSL</t>
  </si>
  <si>
    <t>UVPA</t>
  </si>
  <si>
    <t>UWU</t>
  </si>
  <si>
    <t>Trinco</t>
  </si>
  <si>
    <t xml:space="preserve">PGIM </t>
  </si>
  <si>
    <t>PGIPBS</t>
  </si>
  <si>
    <t>IIM</t>
  </si>
  <si>
    <t>GWAI</t>
  </si>
  <si>
    <t>Summary - Form 2 - A</t>
  </si>
  <si>
    <t>Summary - Form 3</t>
  </si>
  <si>
    <t xml:space="preserve"> -</t>
  </si>
  <si>
    <t>CMB</t>
  </si>
  <si>
    <t>UJA</t>
  </si>
  <si>
    <t>Typed</t>
  </si>
  <si>
    <t>Copy</t>
  </si>
  <si>
    <t>There were some savings on contracts due to changes &amp; some contracts are in design stage</t>
  </si>
  <si>
    <t>Copy &amp; Typed</t>
  </si>
  <si>
    <t xml:space="preserve">*  Township Project  (Rs. 130.0 Mn.) </t>
  </si>
  <si>
    <t xml:space="preserve">*   Contract  signed with  UDA  in September and  expect  the  payment  for  mobilization  advance   and  consultancy charges. </t>
  </si>
  <si>
    <t xml:space="preserve">         Bursar</t>
  </si>
  <si>
    <t xml:space="preserve">         07.10.2016</t>
  </si>
  <si>
    <t>Copy &amp; typed</t>
  </si>
  <si>
    <t>Bills are not submitted &amp; submitted bills are due for payments end of Dec. 2016. Utilization would be close to 100%</t>
  </si>
  <si>
    <t>Pending bills  to be settled.</t>
  </si>
  <si>
    <t xml:space="preserve">Procurement has completed. Bills are pending for payments. </t>
  </si>
  <si>
    <t>Funds have been allocated to international conferences. Most of the conferences will be held during the months of November &amp; December 2016</t>
  </si>
  <si>
    <t>Rs. 65 million paid on 06.10.2016</t>
  </si>
  <si>
    <t>Bills are pending for payments</t>
  </si>
  <si>
    <t>TEC reports of Agriculture stage III &amp; Tech Stream building forwarded to SCAPC &amp; waiting for Cabinet approval</t>
  </si>
  <si>
    <t>Land matter was not settled. Delay the project</t>
  </si>
  <si>
    <t>Although the Faculty was expecting to receive a land by June,2016 for construction of the new building, the land was finally allocated to the University by the UDA only in September, 2016.   Soil investigations has already been done and the Bidding Document for construction work is almost complete and will be submitted for approval of the MPC in October 2016.  Thereafter, other activities can be commenced as scheduled and mobilization advance can be made December, 2016 or Mid January 2017.</t>
  </si>
  <si>
    <t>Expenditure up to 12.10.2016</t>
  </si>
  <si>
    <t>HEI : University of Sri Jayewardenepura</t>
  </si>
  <si>
    <t>Equipment have been received but due to construction delays they are not fixed. Therefore bills have not been paid yet.</t>
  </si>
  <si>
    <t>Delaying submitting bills</t>
  </si>
  <si>
    <t xml:space="preserve">Human Capital Development Projects </t>
  </si>
  <si>
    <t xml:space="preserve">Strengthening Research </t>
  </si>
  <si>
    <t>University Township Project</t>
  </si>
  <si>
    <t>Due to bad weather condition, construction works got delay</t>
  </si>
  <si>
    <t>Procurement completed. Bills are to be received for payments</t>
  </si>
  <si>
    <t>Pending Cabinet decisions</t>
  </si>
  <si>
    <t>To be awarded Hostel Furniture</t>
  </si>
  <si>
    <t>Additional funds required Rs. 20 Mn (Main Entrance Rs.15 Mn &amp; Farm Managers Office Rs.5 Mn)</t>
  </si>
  <si>
    <t>I Acquisition of Fixed Assets</t>
  </si>
  <si>
    <t>II Acquisition of 9 acre land at Puliyankulama for Faculty of Agriculture</t>
  </si>
  <si>
    <t>Pending Cabinet decision</t>
  </si>
  <si>
    <t>Due to delay in obtaining CMC clearance for building design</t>
  </si>
  <si>
    <t xml:space="preserve"> with Committed Expenditure %</t>
  </si>
  <si>
    <t>With Target Expenditure %</t>
  </si>
  <si>
    <t>Utilization up to 30/09/2016     %</t>
  </si>
  <si>
    <t>-</t>
  </si>
  <si>
    <t>HEI</t>
  </si>
  <si>
    <t>(a)</t>
  </si>
  <si>
    <t>(b)</t>
  </si>
  <si>
    <t>( c)</t>
  </si>
  <si>
    <t>(d)</t>
  </si>
  <si>
    <t>(e)</t>
  </si>
  <si>
    <t>Required funds  October - December 2016</t>
  </si>
  <si>
    <t>(f)</t>
  </si>
  <si>
    <t>(d) + ( e)</t>
  </si>
  <si>
    <t>Rs. Mn</t>
  </si>
  <si>
    <t xml:space="preserve">Utilization up to 30/09/2016     </t>
  </si>
  <si>
    <t>UGC</t>
  </si>
  <si>
    <t>Other Postgraduate Institutes</t>
  </si>
  <si>
    <t>Other Higher Educational Institutes</t>
  </si>
  <si>
    <t>OUSL</t>
  </si>
  <si>
    <t>Innitial Allocation</t>
  </si>
  <si>
    <t>Establishment of Engineering Faculties</t>
  </si>
  <si>
    <t>Staff Quarters</t>
  </si>
  <si>
    <t>Total Allocation</t>
  </si>
  <si>
    <t xml:space="preserve">Medical Faculty </t>
  </si>
  <si>
    <t>Rehabilitation &amp; Improvement</t>
  </si>
  <si>
    <t>Project has been given to buildings department they have started the work</t>
  </si>
  <si>
    <r>
      <t>Procurement has completed. Pending letter of award by MOHE. Construction will be commenced on 2</t>
    </r>
    <r>
      <rPr>
        <vertAlign val="superscript"/>
        <sz val="11"/>
        <color indexed="8"/>
        <rFont val="Times New Roman"/>
        <family val="1"/>
      </rPr>
      <t>nd</t>
    </r>
    <r>
      <rPr>
        <sz val="11"/>
        <color indexed="8"/>
        <rFont val="Times New Roman"/>
        <family val="1"/>
      </rPr>
      <t xml:space="preserve"> November 2016.</t>
    </r>
  </si>
  <si>
    <t>Construction of building 100Mn: In preparation of Bid documents</t>
  </si>
  <si>
    <t>In the process of preparing bid document</t>
  </si>
  <si>
    <t>Location has been changed</t>
  </si>
  <si>
    <t>The procurement works are being processed. Therefore the balance will be utilized accordingly.</t>
  </si>
  <si>
    <t>Land will be purchased in October (Rs. 101.0 Mn)</t>
  </si>
  <si>
    <t>International Conference will be held in December (Rs. 4.6 Mn)</t>
  </si>
  <si>
    <t xml:space="preserve"> Procurement process in progress</t>
  </si>
  <si>
    <t>In the bidding process (Technology staff quarters)</t>
  </si>
  <si>
    <t>Equipment - Procurement are in process and part of the equipment will be delivered in December 2016.</t>
  </si>
  <si>
    <t>Technology Rs.3,000Mn</t>
  </si>
  <si>
    <t>Allocation without Technology Rs.3,000Mn</t>
  </si>
  <si>
    <t>Allocation 2016 with Technology Rs.3,000mn</t>
  </si>
  <si>
    <r>
      <t xml:space="preserve">Allocation 2016 </t>
    </r>
    <r>
      <rPr>
        <b/>
        <sz val="9"/>
        <color indexed="8"/>
        <rFont val="Times New Roman"/>
        <family val="1"/>
      </rPr>
      <t>(including Supplementary Allocation)</t>
    </r>
  </si>
  <si>
    <t xml:space="preserve"> Note I : Allocation for the year is insufficient to meet the essential requirements of the University and therefore additional funds Rs. 101 Mn for Rehabilitation &amp; improvement and Rs. 271 Mn for Acquisition of Fixed Assets</t>
  </si>
  <si>
    <t>Vavuniya -  Pre Tech. completed and  documents handed over to MOHE due for advertising</t>
  </si>
  <si>
    <t>Procurements are in order &amp; project starts in Oct &amp; Dec 2016. Students will be admitted to the university in 2017/18.</t>
  </si>
  <si>
    <t>3 months crash programme is underway.</t>
  </si>
  <si>
    <t>Almost completed</t>
  </si>
  <si>
    <t>Bills have not been presented. Vouchers are being processed for payments.</t>
  </si>
  <si>
    <t>Acquisition &amp; curriculum development are in progress. Quotation has been called for temporary location with 35000 sq.ft. Govt. valuation is 1.5 Mn, Quoted price 4.1 Mn.</t>
  </si>
  <si>
    <t>Contract awarded on 10/08/2016 and physical progress is 30% at this stage.</t>
  </si>
  <si>
    <t>Kilinochchi - Procurements are in process and bid documents are ready for advertising (CATB)</t>
  </si>
  <si>
    <t>Building for Agri Faculty 100 Mn: In awarding stage</t>
  </si>
  <si>
    <t>Geomatic building is re-tendered as advised by MOHE.</t>
  </si>
  <si>
    <t>Procurement process is in progress.</t>
  </si>
  <si>
    <t>Most of  Applications received in Sep.2016</t>
  </si>
  <si>
    <t>This fund allocation had been received to the Faculty of Information Technology on July 2016 and the procurement works are being processed. Therefore the balance will be utilized accordingly.</t>
  </si>
  <si>
    <t>This is an especial allocation for the faculty of Engineering RS.100Mn received on July 2016. Since the procurement works are being processed. The balance funds will be utilized accordingly.</t>
  </si>
  <si>
    <t>Contract awarded on 5th Oct 2016 &amp; due to be completed in March 2017</t>
  </si>
  <si>
    <t>Research proposal approved by the research Committee and funds received at the end of the June - 2016</t>
  </si>
  <si>
    <t>As the amount allocated for Rehabilitation &amp; Acquisition of fixed assets were not sufficient, it is intended to utilize the allocation in the Human capital &amp; strengthening Research for Rehabilitation &amp; acquisition of  fixed assets . Therefore Human capital development fund &amp; Strengthening Research fund will be transferred to Rehabilitation &amp; Acquisition of Fixed Assets vote.</t>
  </si>
  <si>
    <r>
      <t>Land was allocated to the Faculty on 22</t>
    </r>
    <r>
      <rPr>
        <vertAlign val="superscript"/>
        <sz val="11"/>
        <color indexed="8"/>
        <rFont val="Times New Roman"/>
        <family val="1"/>
      </rPr>
      <t>nd</t>
    </r>
    <r>
      <rPr>
        <sz val="11"/>
        <color indexed="8"/>
        <rFont val="Times New Roman"/>
        <family val="1"/>
      </rPr>
      <t xml:space="preserve"> September 2016 &amp; contour survey soil investigation has been done.</t>
    </r>
  </si>
  <si>
    <t>Building - TEC report with the recommendations submitted to MOHE</t>
  </si>
  <si>
    <t>Establishment of Faculty of Medicine- (Note I)</t>
  </si>
  <si>
    <t>Programmes have been planned by the 3 faculties during last 3 months.</t>
  </si>
  <si>
    <t>Rehabilitation works &amp; Acquisition are in the process. Bills for concluded activities are being processed for payment.</t>
  </si>
  <si>
    <t>Two years  duration  for  the   course  of studies.</t>
  </si>
  <si>
    <t>Annex I</t>
  </si>
  <si>
    <t>University ………………………………………..</t>
  </si>
  <si>
    <t>Establishment of Faculties of Technology</t>
  </si>
  <si>
    <t>Engineering Faculty - Kilinochchi</t>
  </si>
  <si>
    <t>New - Faculty of Medicine - WUSL</t>
  </si>
  <si>
    <t>Encourage accreditation with profession bodies of international repute</t>
  </si>
  <si>
    <t>Expenditure up to 31.12.2016</t>
  </si>
  <si>
    <t>Physical Progress (%)</t>
  </si>
  <si>
    <t>Current Status</t>
  </si>
  <si>
    <t>Q1</t>
  </si>
  <si>
    <t>Q2</t>
  </si>
  <si>
    <t>Q3</t>
  </si>
  <si>
    <t>Q4</t>
  </si>
  <si>
    <t xml:space="preserve">Allocation 2016 </t>
  </si>
  <si>
    <t xml:space="preserve">     Rehabilitation Works</t>
  </si>
  <si>
    <t xml:space="preserve">     Acquisitions</t>
  </si>
  <si>
    <t xml:space="preserve">     Others</t>
  </si>
  <si>
    <t>Progress Review on Budget Proposals -2016</t>
  </si>
  <si>
    <t>Target for 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</si>
</sst>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63">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8"/>
      <name val="Times New Roman"/>
      <family val="1"/>
    </font>
    <font>
      <b/>
      <sz val="11"/>
      <name val="Times New Roman"/>
      <family val="1"/>
    </font>
    <font>
      <b/>
      <sz val="9"/>
      <name val="Times New Roman"/>
      <family val="1"/>
    </font>
    <font>
      <b/>
      <sz val="10"/>
      <name val="Times New Roman"/>
      <family val="1"/>
    </font>
    <font>
      <b/>
      <sz val="8"/>
      <name val="Times New Roman"/>
      <family val="1"/>
    </font>
    <font>
      <sz val="9"/>
      <name val="Times New Roman"/>
      <family val="1"/>
    </font>
    <font>
      <sz val="10"/>
      <name val="Times New Roman"/>
      <family val="1"/>
    </font>
    <font>
      <sz val="11"/>
      <name val="Times New Roman"/>
      <family val="1"/>
    </font>
    <font>
      <sz val="10"/>
      <color indexed="8"/>
      <name val="Times New Roman"/>
      <family val="1"/>
    </font>
    <font>
      <sz val="11"/>
      <color indexed="55"/>
      <name val="Times New Roman"/>
      <family val="1"/>
    </font>
    <font>
      <b/>
      <sz val="10"/>
      <color indexed="8"/>
      <name val="Times New Roman"/>
      <family val="1"/>
    </font>
    <font>
      <b/>
      <sz val="20"/>
      <color indexed="8"/>
      <name val="Times New Roman"/>
      <family val="1"/>
    </font>
    <font>
      <sz val="9"/>
      <name val="Tahoma"/>
      <family val="2"/>
    </font>
    <font>
      <b/>
      <sz val="9"/>
      <name val="Tahoma"/>
      <family val="2"/>
    </font>
    <font>
      <vertAlign val="superscript"/>
      <sz val="11"/>
      <color indexed="8"/>
      <name val="Times New Roman"/>
      <family val="1"/>
    </font>
    <font>
      <b/>
      <sz val="9"/>
      <color indexed="8"/>
      <name val="Times New Roman"/>
      <family val="1"/>
    </font>
    <font>
      <b/>
      <sz val="1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1"/>
      <color theme="0" tint="-0.24997000396251678"/>
      <name val="Times New Roman"/>
      <family val="1"/>
    </font>
    <font>
      <sz val="10"/>
      <color theme="1"/>
      <name val="Times New Roman"/>
      <family val="1"/>
    </font>
    <font>
      <b/>
      <sz val="10"/>
      <color theme="1"/>
      <name val="Times New Roman"/>
      <family val="1"/>
    </font>
    <font>
      <b/>
      <sz val="20"/>
      <color theme="1"/>
      <name val="Times New Roman"/>
      <family val="1"/>
    </font>
    <font>
      <b/>
      <sz val="12"/>
      <color theme="1"/>
      <name val="Times New Roman"/>
      <family val="1"/>
    </font>
    <font>
      <b/>
      <sz val="16"/>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099969998002052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border>
    <border>
      <left style="thin"/>
      <right style="thin"/>
      <top/>
      <bottom style="thin"/>
    </border>
    <border>
      <left/>
      <right style="thin"/>
      <top style="thin"/>
      <bottom/>
    </border>
    <border>
      <left style="thin"/>
      <right/>
      <top/>
      <bottom/>
    </border>
    <border>
      <left/>
      <right style="thin"/>
      <top/>
      <bottom/>
    </border>
    <border>
      <left/>
      <right style="thin"/>
      <top/>
      <bottom style="thin"/>
    </border>
    <border>
      <left/>
      <right/>
      <top/>
      <bottom style="thin"/>
    </border>
    <border>
      <left style="thin"/>
      <right style="thin"/>
      <top/>
      <bottom style="hair"/>
    </border>
    <border>
      <left style="thin"/>
      <right/>
      <top/>
      <bottom style="thin"/>
    </border>
    <border>
      <left/>
      <right style="thin"/>
      <top style="thin"/>
      <bottom style="thin"/>
    </border>
    <border>
      <left style="thin"/>
      <right/>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7">
    <xf numFmtId="0" fontId="0" fillId="0" borderId="0" xfId="0" applyFont="1" applyAlignment="1">
      <alignment/>
    </xf>
    <xf numFmtId="0" fontId="54" fillId="0" borderId="0" xfId="0" applyFont="1" applyAlignment="1">
      <alignment vertical="center" wrapText="1"/>
    </xf>
    <xf numFmtId="0" fontId="55"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horizontal="right" vertical="center"/>
    </xf>
    <xf numFmtId="0" fontId="55" fillId="0" borderId="0" xfId="0" applyFont="1" applyAlignment="1">
      <alignment vertical="center"/>
    </xf>
    <xf numFmtId="0" fontId="54" fillId="0" borderId="10" xfId="0" applyFont="1" applyBorder="1" applyAlignment="1">
      <alignment horizontal="center" vertical="center"/>
    </xf>
    <xf numFmtId="0" fontId="54" fillId="0" borderId="10" xfId="0" applyFont="1" applyBorder="1" applyAlignment="1">
      <alignment vertical="center" wrapText="1"/>
    </xf>
    <xf numFmtId="0" fontId="54" fillId="0" borderId="10" xfId="0" applyFont="1" applyBorder="1" applyAlignment="1">
      <alignment vertical="center"/>
    </xf>
    <xf numFmtId="0" fontId="55" fillId="33" borderId="11" xfId="0" applyFont="1" applyFill="1" applyBorder="1" applyAlignment="1">
      <alignment horizontal="center" vertical="center" wrapText="1"/>
    </xf>
    <xf numFmtId="0" fontId="55" fillId="33" borderId="11" xfId="0" applyFont="1" applyFill="1" applyBorder="1" applyAlignment="1">
      <alignment vertical="center" wrapText="1"/>
    </xf>
    <xf numFmtId="0" fontId="55" fillId="33" borderId="11" xfId="0" applyFont="1" applyFill="1" applyBorder="1" applyAlignment="1">
      <alignment horizontal="center" vertical="center"/>
    </xf>
    <xf numFmtId="0" fontId="55" fillId="33" borderId="11" xfId="0" applyFont="1" applyFill="1" applyBorder="1" applyAlignment="1">
      <alignment vertical="center"/>
    </xf>
    <xf numFmtId="0" fontId="55" fillId="0" borderId="0" xfId="0" applyFont="1" applyAlignment="1">
      <alignment horizontal="left" vertical="center"/>
    </xf>
    <xf numFmtId="0" fontId="54" fillId="0" borderId="0" xfId="0" applyFont="1" applyAlignment="1">
      <alignment horizontal="right" vertical="center"/>
    </xf>
    <xf numFmtId="43" fontId="54" fillId="0" borderId="0" xfId="42" applyFont="1" applyAlignment="1">
      <alignment vertical="center"/>
    </xf>
    <xf numFmtId="43" fontId="55" fillId="33" borderId="11" xfId="42" applyFont="1" applyFill="1" applyBorder="1" applyAlignment="1">
      <alignment horizontal="center" vertical="center" wrapText="1"/>
    </xf>
    <xf numFmtId="43" fontId="54" fillId="0" borderId="10" xfId="42" applyFont="1" applyBorder="1" applyAlignment="1">
      <alignment vertical="center"/>
    </xf>
    <xf numFmtId="43" fontId="55" fillId="33" borderId="11" xfId="42" applyFont="1" applyFill="1" applyBorder="1" applyAlignment="1">
      <alignment vertical="center"/>
    </xf>
    <xf numFmtId="43" fontId="5" fillId="33" borderId="11" xfId="42" applyFont="1" applyFill="1" applyBorder="1" applyAlignment="1">
      <alignment vertical="center"/>
    </xf>
    <xf numFmtId="164" fontId="6" fillId="0" borderId="12" xfId="42" applyNumberFormat="1" applyFont="1" applyFill="1" applyBorder="1" applyAlignment="1">
      <alignment horizontal="left" vertical="center" wrapText="1" indent="2"/>
    </xf>
    <xf numFmtId="0" fontId="7" fillId="0" borderId="13" xfId="0" applyFont="1" applyFill="1" applyBorder="1" applyAlignment="1">
      <alignment horizontal="left" vertical="center" wrapText="1" indent="2"/>
    </xf>
    <xf numFmtId="0" fontId="6" fillId="0" borderId="13" xfId="0" applyNumberFormat="1" applyFont="1" applyFill="1" applyBorder="1" applyAlignment="1">
      <alignment horizontal="left" vertical="center" indent="2"/>
    </xf>
    <xf numFmtId="0" fontId="6" fillId="0" borderId="13" xfId="0" applyNumberFormat="1" applyFont="1" applyFill="1" applyBorder="1" applyAlignment="1">
      <alignment horizontal="left" vertical="center" wrapText="1" indent="2"/>
    </xf>
    <xf numFmtId="0" fontId="6" fillId="0" borderId="14" xfId="0" applyNumberFormat="1" applyFont="1" applyFill="1" applyBorder="1" applyAlignment="1">
      <alignment horizontal="left" vertical="center" indent="2"/>
    </xf>
    <xf numFmtId="0" fontId="54" fillId="0" borderId="13" xfId="0" applyFont="1" applyBorder="1" applyAlignment="1">
      <alignment horizontal="center" vertical="center"/>
    </xf>
    <xf numFmtId="0" fontId="54" fillId="0" borderId="14" xfId="0" applyFont="1" applyBorder="1" applyAlignment="1">
      <alignment horizontal="center" vertical="center"/>
    </xf>
    <xf numFmtId="164" fontId="55" fillId="33" borderId="11" xfId="0" applyNumberFormat="1" applyFont="1" applyFill="1" applyBorder="1" applyAlignment="1">
      <alignment vertical="center" wrapText="1"/>
    </xf>
    <xf numFmtId="164" fontId="9" fillId="0" borderId="12" xfId="42" applyNumberFormat="1" applyFont="1" applyFill="1" applyBorder="1" applyAlignment="1">
      <alignment horizontal="left" vertical="center" wrapText="1" indent="2"/>
    </xf>
    <xf numFmtId="164" fontId="11" fillId="0" borderId="12" xfId="42" applyNumberFormat="1" applyFont="1" applyFill="1" applyBorder="1" applyAlignment="1">
      <alignment horizontal="left" vertical="center" wrapText="1" indent="2"/>
    </xf>
    <xf numFmtId="164" fontId="9" fillId="0" borderId="13" xfId="42" applyNumberFormat="1" applyFont="1" applyFill="1" applyBorder="1" applyAlignment="1">
      <alignment horizontal="left" vertical="center" wrapText="1" indent="2"/>
    </xf>
    <xf numFmtId="164" fontId="9" fillId="0" borderId="14" xfId="42" applyNumberFormat="1" applyFont="1" applyFill="1" applyBorder="1" applyAlignment="1">
      <alignment horizontal="left" vertical="center" wrapText="1" indent="2"/>
    </xf>
    <xf numFmtId="164" fontId="11" fillId="0" borderId="13" xfId="42" applyNumberFormat="1" applyFont="1" applyFill="1" applyBorder="1" applyAlignment="1">
      <alignment horizontal="left" vertical="center" wrapText="1" indent="2"/>
    </xf>
    <xf numFmtId="164" fontId="11" fillId="0" borderId="13" xfId="42" applyNumberFormat="1" applyFont="1" applyFill="1" applyBorder="1" applyAlignment="1">
      <alignment horizontal="left" vertical="center" indent="2"/>
    </xf>
    <xf numFmtId="164" fontId="11" fillId="0" borderId="14" xfId="42" applyNumberFormat="1" applyFont="1" applyFill="1" applyBorder="1" applyAlignment="1">
      <alignment horizontal="left" vertical="center" indent="2"/>
    </xf>
    <xf numFmtId="9" fontId="54" fillId="0" borderId="0" xfId="0" applyNumberFormat="1" applyFont="1" applyAlignment="1">
      <alignment horizontal="center" vertical="center"/>
    </xf>
    <xf numFmtId="9" fontId="55" fillId="33" borderId="11" xfId="0" applyNumberFormat="1" applyFont="1" applyFill="1" applyBorder="1" applyAlignment="1">
      <alignment horizontal="center" vertical="center" wrapText="1"/>
    </xf>
    <xf numFmtId="9" fontId="11" fillId="0" borderId="13" xfId="42" applyNumberFormat="1" applyFont="1" applyFill="1" applyBorder="1" applyAlignment="1">
      <alignment horizontal="center" vertical="center"/>
    </xf>
    <xf numFmtId="164" fontId="10" fillId="0" borderId="13" xfId="42" applyNumberFormat="1" applyFont="1" applyFill="1" applyBorder="1" applyAlignment="1">
      <alignment horizontal="left" vertical="center" wrapText="1" indent="2"/>
    </xf>
    <xf numFmtId="164" fontId="9" fillId="0" borderId="13" xfId="42" applyNumberFormat="1" applyFont="1" applyFill="1" applyBorder="1" applyAlignment="1">
      <alignment horizontal="left" vertical="center" indent="2"/>
    </xf>
    <xf numFmtId="164" fontId="9" fillId="0" borderId="14" xfId="42" applyNumberFormat="1" applyFont="1" applyFill="1" applyBorder="1" applyAlignment="1">
      <alignment horizontal="left" vertical="center" indent="2"/>
    </xf>
    <xf numFmtId="164" fontId="54" fillId="0" borderId="0" xfId="0" applyNumberFormat="1" applyFont="1" applyAlignment="1">
      <alignment vertical="center"/>
    </xf>
    <xf numFmtId="10" fontId="54" fillId="0" borderId="0" xfId="0" applyNumberFormat="1" applyFont="1" applyAlignment="1">
      <alignment horizontal="center" vertical="center"/>
    </xf>
    <xf numFmtId="10" fontId="55" fillId="33" borderId="11" xfId="0" applyNumberFormat="1" applyFont="1" applyFill="1" applyBorder="1" applyAlignment="1">
      <alignment horizontal="center" vertical="center" wrapText="1"/>
    </xf>
    <xf numFmtId="9" fontId="54" fillId="0" borderId="10" xfId="0" applyNumberFormat="1" applyFont="1" applyBorder="1" applyAlignment="1">
      <alignment horizontal="center" vertical="center"/>
    </xf>
    <xf numFmtId="9" fontId="55" fillId="33" borderId="11" xfId="0" applyNumberFormat="1" applyFont="1" applyFill="1" applyBorder="1" applyAlignment="1">
      <alignment horizontal="center" vertical="center"/>
    </xf>
    <xf numFmtId="43" fontId="54" fillId="0" borderId="10" xfId="42" applyFont="1" applyBorder="1" applyAlignment="1">
      <alignment horizontal="center" vertical="center"/>
    </xf>
    <xf numFmtId="0" fontId="56" fillId="0" borderId="0" xfId="0" applyFont="1" applyAlignment="1">
      <alignment vertical="center"/>
    </xf>
    <xf numFmtId="0" fontId="56" fillId="0" borderId="0" xfId="0" applyFont="1" applyAlignment="1">
      <alignment horizontal="right" vertical="center"/>
    </xf>
    <xf numFmtId="0" fontId="54" fillId="0" borderId="0" xfId="0" applyFont="1" applyAlignment="1">
      <alignment vertical="center" wrapText="1"/>
    </xf>
    <xf numFmtId="0" fontId="55"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horizontal="right" vertical="center"/>
    </xf>
    <xf numFmtId="0" fontId="55" fillId="0" borderId="0" xfId="0" applyFont="1" applyAlignment="1">
      <alignment vertical="center"/>
    </xf>
    <xf numFmtId="0" fontId="54" fillId="0" borderId="10" xfId="0" applyFont="1" applyBorder="1" applyAlignment="1">
      <alignment horizontal="center" vertical="center"/>
    </xf>
    <xf numFmtId="0" fontId="54" fillId="0" borderId="10" xfId="0" applyFont="1" applyBorder="1" applyAlignment="1">
      <alignment vertical="center" wrapText="1"/>
    </xf>
    <xf numFmtId="0" fontId="54" fillId="0" borderId="10" xfId="0" applyFont="1" applyBorder="1" applyAlignment="1">
      <alignment vertical="center"/>
    </xf>
    <xf numFmtId="0" fontId="55" fillId="33" borderId="11" xfId="0" applyFont="1" applyFill="1" applyBorder="1" applyAlignment="1">
      <alignment horizontal="center" vertical="center" wrapText="1"/>
    </xf>
    <xf numFmtId="0" fontId="55" fillId="33" borderId="11" xfId="0" applyFont="1" applyFill="1" applyBorder="1" applyAlignment="1">
      <alignment vertical="center" wrapText="1"/>
    </xf>
    <xf numFmtId="0" fontId="55" fillId="33" borderId="11" xfId="0" applyFont="1" applyFill="1" applyBorder="1" applyAlignment="1">
      <alignment horizontal="center" vertical="center"/>
    </xf>
    <xf numFmtId="0" fontId="55" fillId="33" borderId="11" xfId="0" applyFont="1" applyFill="1" applyBorder="1" applyAlignment="1">
      <alignment vertical="center"/>
    </xf>
    <xf numFmtId="0" fontId="55" fillId="0" borderId="0" xfId="0" applyFont="1" applyAlignment="1">
      <alignment horizontal="left" vertical="center"/>
    </xf>
    <xf numFmtId="0" fontId="54" fillId="0" borderId="0" xfId="0" applyFont="1" applyAlignment="1">
      <alignment horizontal="right" vertical="center"/>
    </xf>
    <xf numFmtId="43" fontId="54" fillId="0" borderId="0" xfId="42" applyFont="1" applyAlignment="1">
      <alignment vertical="center"/>
    </xf>
    <xf numFmtId="43" fontId="55" fillId="33" borderId="11" xfId="42" applyFont="1" applyFill="1" applyBorder="1" applyAlignment="1">
      <alignment horizontal="center" vertical="center" wrapText="1"/>
    </xf>
    <xf numFmtId="43" fontId="54" fillId="0" borderId="10" xfId="42" applyFont="1" applyBorder="1" applyAlignment="1">
      <alignment vertical="center"/>
    </xf>
    <xf numFmtId="43" fontId="55" fillId="33" borderId="11" xfId="42" applyFont="1" applyFill="1" applyBorder="1" applyAlignment="1">
      <alignment vertical="center"/>
    </xf>
    <xf numFmtId="0" fontId="54" fillId="0" borderId="0" xfId="0" applyFont="1" applyAlignment="1">
      <alignment horizontal="center" vertical="center"/>
    </xf>
    <xf numFmtId="0" fontId="55" fillId="33" borderId="11" xfId="0" applyFont="1" applyFill="1" applyBorder="1" applyAlignment="1">
      <alignment vertical="center" wrapText="1"/>
    </xf>
    <xf numFmtId="43" fontId="54" fillId="0" borderId="10" xfId="42" applyFont="1" applyBorder="1" applyAlignment="1">
      <alignment vertical="center"/>
    </xf>
    <xf numFmtId="43" fontId="55" fillId="33" borderId="11" xfId="42" applyFont="1" applyFill="1" applyBorder="1" applyAlignment="1">
      <alignment vertical="center"/>
    </xf>
    <xf numFmtId="9" fontId="54" fillId="0" borderId="10" xfId="0" applyNumberFormat="1" applyFont="1" applyBorder="1" applyAlignment="1">
      <alignment horizontal="right" vertical="center"/>
    </xf>
    <xf numFmtId="9" fontId="54" fillId="0" borderId="10" xfId="58" applyNumberFormat="1" applyFont="1" applyBorder="1" applyAlignment="1">
      <alignment horizontal="center" vertical="center"/>
    </xf>
    <xf numFmtId="0" fontId="0" fillId="0" borderId="0" xfId="0" applyAlignment="1">
      <alignment/>
    </xf>
    <xf numFmtId="0" fontId="54" fillId="0" borderId="0" xfId="0" applyFont="1" applyAlignment="1">
      <alignment vertical="center" wrapText="1"/>
    </xf>
    <xf numFmtId="0" fontId="54" fillId="0" borderId="0" xfId="0" applyFont="1" applyAlignment="1">
      <alignment horizontal="right" vertical="center"/>
    </xf>
    <xf numFmtId="0" fontId="55" fillId="0" borderId="0" xfId="0" applyFont="1" applyAlignment="1">
      <alignment horizontal="left" vertical="center"/>
    </xf>
    <xf numFmtId="0" fontId="55" fillId="0" borderId="0" xfId="0" applyFont="1" applyAlignment="1">
      <alignment horizontal="right" vertical="center"/>
    </xf>
    <xf numFmtId="0" fontId="55" fillId="33" borderId="11" xfId="0" applyFont="1" applyFill="1" applyBorder="1" applyAlignment="1">
      <alignment horizontal="center" vertical="center" wrapText="1"/>
    </xf>
    <xf numFmtId="0" fontId="55" fillId="33" borderId="11" xfId="0" applyFont="1" applyFill="1" applyBorder="1" applyAlignment="1">
      <alignment vertical="center" wrapText="1"/>
    </xf>
    <xf numFmtId="43" fontId="55" fillId="33" borderId="11" xfId="42" applyFont="1" applyFill="1" applyBorder="1" applyAlignment="1">
      <alignment horizontal="center" vertical="center" wrapText="1"/>
    </xf>
    <xf numFmtId="0" fontId="54" fillId="0" borderId="0" xfId="0" applyFont="1" applyAlignment="1">
      <alignment vertical="center"/>
    </xf>
    <xf numFmtId="0" fontId="54" fillId="0" borderId="10" xfId="0" applyFont="1" applyBorder="1" applyAlignment="1">
      <alignment horizontal="center" vertical="center"/>
    </xf>
    <xf numFmtId="0" fontId="54" fillId="0" borderId="10" xfId="0" applyFont="1" applyBorder="1" applyAlignment="1">
      <alignment vertical="center" wrapText="1"/>
    </xf>
    <xf numFmtId="43" fontId="54" fillId="0" borderId="10" xfId="42" applyFont="1" applyBorder="1" applyAlignment="1">
      <alignment vertical="center"/>
    </xf>
    <xf numFmtId="0" fontId="54" fillId="0" borderId="10" xfId="0" applyFont="1" applyBorder="1" applyAlignment="1">
      <alignment vertical="center"/>
    </xf>
    <xf numFmtId="0" fontId="55" fillId="33" borderId="11" xfId="0" applyFont="1" applyFill="1" applyBorder="1" applyAlignment="1">
      <alignment horizontal="center" vertical="center"/>
    </xf>
    <xf numFmtId="43" fontId="55" fillId="33" borderId="11" xfId="42" applyFont="1" applyFill="1" applyBorder="1" applyAlignment="1">
      <alignment vertical="center"/>
    </xf>
    <xf numFmtId="0" fontId="55" fillId="33" borderId="11" xfId="0" applyFont="1" applyFill="1" applyBorder="1" applyAlignment="1">
      <alignment vertical="center"/>
    </xf>
    <xf numFmtId="43" fontId="54" fillId="0" borderId="10" xfId="0" applyNumberFormat="1" applyFont="1" applyBorder="1" applyAlignment="1">
      <alignment horizontal="center" vertical="center"/>
    </xf>
    <xf numFmtId="43" fontId="54" fillId="0" borderId="10" xfId="42" applyFont="1" applyBorder="1" applyAlignment="1">
      <alignment horizontal="right" vertical="center"/>
    </xf>
    <xf numFmtId="43" fontId="54" fillId="0" borderId="10" xfId="42" applyFont="1" applyFill="1" applyBorder="1" applyAlignment="1">
      <alignment vertical="center"/>
    </xf>
    <xf numFmtId="0" fontId="54" fillId="0" borderId="0" xfId="0" applyFont="1" applyAlignment="1">
      <alignment horizontal="left" vertical="center"/>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6" xfId="0" applyFont="1" applyBorder="1" applyAlignment="1">
      <alignment horizontal="center" vertical="center" wrapText="1"/>
    </xf>
    <xf numFmtId="9" fontId="0" fillId="0" borderId="0" xfId="0" applyNumberFormat="1" applyAlignment="1">
      <alignment/>
    </xf>
    <xf numFmtId="9" fontId="54" fillId="0" borderId="10" xfId="42" applyNumberFormat="1" applyFont="1" applyBorder="1" applyAlignment="1">
      <alignment horizontal="center" vertical="center"/>
    </xf>
    <xf numFmtId="9" fontId="55" fillId="33" borderId="11" xfId="42" applyNumberFormat="1" applyFont="1" applyFill="1" applyBorder="1" applyAlignment="1">
      <alignment horizontal="center" vertical="center"/>
    </xf>
    <xf numFmtId="9" fontId="54" fillId="0" borderId="0" xfId="42" applyNumberFormat="1" applyFont="1" applyAlignment="1">
      <alignment horizontal="center" vertical="center"/>
    </xf>
    <xf numFmtId="9" fontId="54" fillId="0" borderId="0" xfId="0" applyNumberFormat="1" applyFont="1" applyAlignment="1">
      <alignment vertical="center"/>
    </xf>
    <xf numFmtId="9" fontId="55" fillId="33" borderId="11" xfId="42" applyNumberFormat="1" applyFont="1" applyFill="1" applyBorder="1" applyAlignment="1">
      <alignment horizontal="right" vertical="center"/>
    </xf>
    <xf numFmtId="43" fontId="55" fillId="33" borderId="11" xfId="42" applyFont="1" applyFill="1" applyBorder="1" applyAlignment="1">
      <alignment horizontal="right" vertical="center"/>
    </xf>
    <xf numFmtId="43" fontId="54" fillId="0" borderId="10" xfId="42" applyFont="1" applyFill="1" applyBorder="1" applyAlignment="1">
      <alignment horizontal="center" vertical="center"/>
    </xf>
    <xf numFmtId="43" fontId="54" fillId="0" borderId="10" xfId="42" applyFont="1" applyBorder="1" applyAlignment="1">
      <alignment vertical="center"/>
    </xf>
    <xf numFmtId="43" fontId="55" fillId="33" borderId="11" xfId="42" applyFont="1" applyFill="1" applyBorder="1" applyAlignment="1">
      <alignment vertical="center"/>
    </xf>
    <xf numFmtId="0" fontId="54" fillId="0" borderId="10" xfId="0" applyFont="1" applyBorder="1" applyAlignment="1">
      <alignment horizontal="center" vertical="center"/>
    </xf>
    <xf numFmtId="0" fontId="54" fillId="0" borderId="10" xfId="0" applyFont="1" applyBorder="1" applyAlignment="1">
      <alignment vertical="center" wrapText="1"/>
    </xf>
    <xf numFmtId="43" fontId="54" fillId="0" borderId="10" xfId="42" applyFont="1" applyBorder="1" applyAlignment="1">
      <alignment vertical="center"/>
    </xf>
    <xf numFmtId="43" fontId="55" fillId="33" borderId="11" xfId="42" applyFont="1" applyFill="1" applyBorder="1" applyAlignment="1">
      <alignment vertical="center"/>
    </xf>
    <xf numFmtId="9" fontId="54" fillId="0" borderId="10" xfId="0" applyNumberFormat="1" applyFont="1" applyBorder="1" applyAlignment="1">
      <alignment horizontal="center" vertical="center"/>
    </xf>
    <xf numFmtId="43" fontId="54" fillId="0" borderId="10" xfId="42" applyFont="1" applyBorder="1" applyAlignment="1">
      <alignment horizontal="center" vertical="center"/>
    </xf>
    <xf numFmtId="43" fontId="54" fillId="0" borderId="10" xfId="0" applyNumberFormat="1" applyFont="1" applyBorder="1" applyAlignment="1">
      <alignment horizontal="center" vertical="center"/>
    </xf>
    <xf numFmtId="43" fontId="54" fillId="0" borderId="10" xfId="42" applyFont="1" applyBorder="1" applyAlignment="1">
      <alignment horizontal="center" vertical="center"/>
    </xf>
    <xf numFmtId="9" fontId="54" fillId="0" borderId="10" xfId="0" applyNumberFormat="1" applyFont="1" applyBorder="1" applyAlignment="1">
      <alignment horizontal="center" vertical="center"/>
    </xf>
    <xf numFmtId="0" fontId="54" fillId="0" borderId="10" xfId="0" applyFont="1" applyBorder="1" applyAlignment="1">
      <alignment horizontal="justify" vertical="center" wrapText="1"/>
    </xf>
    <xf numFmtId="10" fontId="54" fillId="0" borderId="10" xfId="0" applyNumberFormat="1" applyFont="1" applyBorder="1" applyAlignment="1">
      <alignment horizontal="center" vertical="center"/>
    </xf>
    <xf numFmtId="10" fontId="55" fillId="33" borderId="11" xfId="42" applyNumberFormat="1" applyFont="1" applyFill="1" applyBorder="1" applyAlignment="1">
      <alignment vertical="center"/>
    </xf>
    <xf numFmtId="9" fontId="55" fillId="33" borderId="11" xfId="42" applyNumberFormat="1" applyFont="1" applyFill="1" applyBorder="1" applyAlignment="1">
      <alignment vertical="center"/>
    </xf>
    <xf numFmtId="9" fontId="54" fillId="0" borderId="10" xfId="42" applyNumberFormat="1" applyFont="1" applyBorder="1" applyAlignment="1">
      <alignment vertical="center"/>
    </xf>
    <xf numFmtId="0" fontId="54" fillId="0" borderId="10" xfId="0" applyFont="1" applyFill="1" applyBorder="1" applyAlignment="1">
      <alignment horizontal="left" vertical="center" wrapText="1"/>
    </xf>
    <xf numFmtId="0" fontId="54" fillId="0" borderId="10" xfId="0" applyFont="1" applyBorder="1" applyAlignment="1">
      <alignment horizontal="justify" vertical="top" wrapText="1"/>
    </xf>
    <xf numFmtId="0" fontId="54" fillId="0" borderId="17" xfId="0" applyFont="1" applyFill="1" applyBorder="1" applyAlignment="1">
      <alignment horizontal="left" vertical="center" wrapText="1"/>
    </xf>
    <xf numFmtId="0" fontId="54" fillId="0" borderId="18" xfId="0" applyFont="1" applyBorder="1" applyAlignment="1">
      <alignment vertical="center" wrapText="1"/>
    </xf>
    <xf numFmtId="0" fontId="54" fillId="0" borderId="19" xfId="0" applyFont="1" applyFill="1" applyBorder="1" applyAlignment="1">
      <alignment horizontal="left" vertical="center" wrapText="1"/>
    </xf>
    <xf numFmtId="43" fontId="54" fillId="0" borderId="15" xfId="42" applyFont="1" applyBorder="1" applyAlignment="1">
      <alignment vertical="center"/>
    </xf>
    <xf numFmtId="9" fontId="54" fillId="0" borderId="15" xfId="0" applyNumberFormat="1" applyFont="1" applyBorder="1" applyAlignment="1">
      <alignment horizontal="center" vertical="center"/>
    </xf>
    <xf numFmtId="43" fontId="54" fillId="0" borderId="15" xfId="42" applyFont="1" applyBorder="1" applyAlignment="1">
      <alignment horizontal="center" vertical="center"/>
    </xf>
    <xf numFmtId="43" fontId="54" fillId="0" borderId="10" xfId="42" applyFont="1" applyBorder="1" applyAlignment="1">
      <alignment horizontal="center" vertical="center"/>
    </xf>
    <xf numFmtId="9" fontId="54" fillId="0" borderId="10" xfId="0" applyNumberFormat="1" applyFont="1" applyBorder="1" applyAlignment="1">
      <alignment horizontal="center" vertical="center"/>
    </xf>
    <xf numFmtId="43" fontId="54" fillId="0" borderId="10" xfId="42" applyFont="1" applyBorder="1" applyAlignment="1">
      <alignment horizontal="center" vertical="center" wrapText="1"/>
    </xf>
    <xf numFmtId="43" fontId="54" fillId="0" borderId="20" xfId="42" applyFont="1" applyBorder="1" applyAlignment="1">
      <alignment horizontal="center" vertical="center" wrapText="1"/>
    </xf>
    <xf numFmtId="43" fontId="54" fillId="0" borderId="0" xfId="42" applyFont="1" applyBorder="1" applyAlignment="1">
      <alignment horizontal="center" vertical="center" wrapText="1"/>
    </xf>
    <xf numFmtId="43" fontId="54" fillId="0" borderId="10" xfId="42" applyFont="1" applyFill="1" applyBorder="1" applyAlignment="1">
      <alignment horizontal="center" vertical="center" wrapText="1"/>
    </xf>
    <xf numFmtId="43" fontId="54" fillId="0" borderId="0" xfId="42" applyFont="1" applyFill="1" applyBorder="1" applyAlignment="1">
      <alignment horizontal="center" vertical="center" wrapText="1"/>
    </xf>
    <xf numFmtId="0" fontId="54" fillId="0" borderId="0" xfId="0" applyFont="1" applyAlignment="1">
      <alignment horizontal="center" vertical="center" wrapText="1"/>
    </xf>
    <xf numFmtId="43" fontId="54" fillId="0" borderId="10" xfId="42" applyFont="1" applyBorder="1" applyAlignment="1">
      <alignment horizontal="center" vertical="center"/>
    </xf>
    <xf numFmtId="9" fontId="54" fillId="0" borderId="10" xfId="0" applyNumberFormat="1" applyFont="1" applyBorder="1" applyAlignment="1">
      <alignment horizontal="center" vertical="center"/>
    </xf>
    <xf numFmtId="43" fontId="54" fillId="0" borderId="10" xfId="0" applyNumberFormat="1" applyFont="1" applyBorder="1" applyAlignment="1">
      <alignment horizontal="right" vertical="center"/>
    </xf>
    <xf numFmtId="0" fontId="57" fillId="0" borderId="0" xfId="0" applyFont="1" applyAlignment="1">
      <alignment horizontal="center" vertical="center"/>
    </xf>
    <xf numFmtId="0" fontId="57" fillId="0" borderId="0" xfId="0" applyFont="1" applyAlignment="1">
      <alignment vertical="center" wrapText="1"/>
    </xf>
    <xf numFmtId="43" fontId="57" fillId="0" borderId="0" xfId="42" applyFont="1" applyAlignment="1">
      <alignment vertical="center"/>
    </xf>
    <xf numFmtId="9" fontId="57" fillId="0" borderId="0" xfId="0" applyNumberFormat="1" applyFont="1" applyAlignment="1">
      <alignment horizontal="center" vertical="center"/>
    </xf>
    <xf numFmtId="0" fontId="57" fillId="0" borderId="0" xfId="0" applyFont="1" applyAlignment="1">
      <alignment horizontal="right" vertical="center"/>
    </xf>
    <xf numFmtId="0" fontId="57" fillId="0" borderId="0" xfId="0" applyFont="1" applyAlignment="1">
      <alignment vertical="center"/>
    </xf>
    <xf numFmtId="0" fontId="58" fillId="0" borderId="0" xfId="0" applyFont="1" applyAlignment="1">
      <alignment horizontal="right" vertical="center"/>
    </xf>
    <xf numFmtId="0" fontId="58" fillId="33" borderId="11" xfId="0" applyFont="1" applyFill="1" applyBorder="1" applyAlignment="1">
      <alignment horizontal="center" vertical="center" wrapText="1"/>
    </xf>
    <xf numFmtId="9" fontId="58" fillId="33" borderId="11" xfId="0" applyNumberFormat="1" applyFont="1" applyFill="1" applyBorder="1" applyAlignment="1">
      <alignment horizontal="center" vertical="center" wrapText="1"/>
    </xf>
    <xf numFmtId="0" fontId="58" fillId="0" borderId="0" xfId="0" applyFont="1" applyAlignment="1">
      <alignment vertical="center" wrapText="1"/>
    </xf>
    <xf numFmtId="0" fontId="57" fillId="0" borderId="10" xfId="0" applyFont="1" applyBorder="1" applyAlignment="1">
      <alignment horizontal="center" vertical="center"/>
    </xf>
    <xf numFmtId="164" fontId="7" fillId="0" borderId="12" xfId="42" applyNumberFormat="1" applyFont="1" applyFill="1" applyBorder="1" applyAlignment="1">
      <alignment horizontal="left" vertical="center" wrapText="1" indent="2"/>
    </xf>
    <xf numFmtId="164" fontId="10" fillId="0" borderId="12" xfId="42" applyNumberFormat="1" applyFont="1" applyFill="1" applyBorder="1" applyAlignment="1">
      <alignment horizontal="left" vertical="center" wrapText="1" indent="2"/>
    </xf>
    <xf numFmtId="164" fontId="57" fillId="0" borderId="0" xfId="0" applyNumberFormat="1" applyFont="1" applyAlignment="1">
      <alignment vertical="center"/>
    </xf>
    <xf numFmtId="0" fontId="57" fillId="0" borderId="13" xfId="0" applyFont="1" applyBorder="1" applyAlignment="1">
      <alignment horizontal="center" vertical="center"/>
    </xf>
    <xf numFmtId="0" fontId="7" fillId="0" borderId="13" xfId="0" applyNumberFormat="1" applyFont="1" applyFill="1" applyBorder="1" applyAlignment="1">
      <alignment horizontal="left" vertical="center" indent="2"/>
    </xf>
    <xf numFmtId="0" fontId="58" fillId="0" borderId="0" xfId="0" applyFont="1" applyAlignment="1">
      <alignment vertical="center"/>
    </xf>
    <xf numFmtId="0" fontId="7" fillId="0" borderId="13" xfId="0" applyNumberFormat="1" applyFont="1" applyFill="1" applyBorder="1" applyAlignment="1">
      <alignment horizontal="left" vertical="center" wrapText="1" indent="2"/>
    </xf>
    <xf numFmtId="0" fontId="57" fillId="0" borderId="21" xfId="0" applyFont="1" applyBorder="1" applyAlignment="1">
      <alignment vertical="center"/>
    </xf>
    <xf numFmtId="0" fontId="57" fillId="0" borderId="14" xfId="0" applyFont="1" applyBorder="1" applyAlignment="1">
      <alignment horizontal="center" vertical="center"/>
    </xf>
    <xf numFmtId="0" fontId="7" fillId="0" borderId="14" xfId="0" applyNumberFormat="1" applyFont="1" applyFill="1" applyBorder="1" applyAlignment="1">
      <alignment horizontal="left" vertical="center" indent="2"/>
    </xf>
    <xf numFmtId="164" fontId="10" fillId="0" borderId="14" xfId="42" applyNumberFormat="1" applyFont="1" applyFill="1" applyBorder="1" applyAlignment="1">
      <alignment horizontal="left" vertical="center" wrapText="1" indent="2"/>
    </xf>
    <xf numFmtId="164" fontId="58" fillId="33" borderId="11" xfId="0" applyNumberFormat="1" applyFont="1" applyFill="1" applyBorder="1" applyAlignment="1">
      <alignment vertical="center" wrapText="1"/>
    </xf>
    <xf numFmtId="1" fontId="58" fillId="33" borderId="11" xfId="0" applyNumberFormat="1" applyFont="1" applyFill="1" applyBorder="1" applyAlignment="1">
      <alignment horizontal="center" vertical="center" wrapText="1"/>
    </xf>
    <xf numFmtId="164" fontId="7" fillId="33" borderId="16" xfId="42" applyNumberFormat="1" applyFont="1" applyFill="1" applyBorder="1" applyAlignment="1">
      <alignment horizontal="left" vertical="center" wrapText="1" indent="2"/>
    </xf>
    <xf numFmtId="0" fontId="58" fillId="33" borderId="11" xfId="0" applyFont="1" applyFill="1" applyBorder="1" applyAlignment="1">
      <alignment vertical="center" wrapText="1"/>
    </xf>
    <xf numFmtId="1" fontId="10" fillId="33" borderId="13" xfId="42" applyNumberFormat="1" applyFont="1" applyFill="1" applyBorder="1" applyAlignment="1">
      <alignment horizontal="center" vertical="center"/>
    </xf>
    <xf numFmtId="164" fontId="57" fillId="33" borderId="0" xfId="0" applyNumberFormat="1" applyFont="1" applyFill="1" applyAlignment="1">
      <alignment horizontal="center" vertical="center"/>
    </xf>
    <xf numFmtId="164" fontId="10" fillId="33" borderId="13" xfId="42" applyNumberFormat="1" applyFont="1" applyFill="1" applyBorder="1" applyAlignment="1">
      <alignment horizontal="left" vertical="center" wrapText="1" indent="2"/>
    </xf>
    <xf numFmtId="164" fontId="10" fillId="33" borderId="12" xfId="42" applyNumberFormat="1" applyFont="1" applyFill="1" applyBorder="1" applyAlignment="1">
      <alignment horizontal="left" vertical="center" wrapText="1" indent="2"/>
    </xf>
    <xf numFmtId="164" fontId="10" fillId="33" borderId="14" xfId="42" applyNumberFormat="1" applyFont="1" applyFill="1" applyBorder="1" applyAlignment="1">
      <alignment horizontal="left" vertical="center" wrapText="1" indent="2"/>
    </xf>
    <xf numFmtId="164" fontId="58" fillId="0" borderId="11" xfId="0" applyNumberFormat="1" applyFont="1" applyFill="1" applyBorder="1" applyAlignment="1">
      <alignment vertical="center" wrapText="1"/>
    </xf>
    <xf numFmtId="164" fontId="57" fillId="0" borderId="0" xfId="42" applyNumberFormat="1" applyFont="1" applyAlignment="1">
      <alignment vertical="center"/>
    </xf>
    <xf numFmtId="164" fontId="58" fillId="33" borderId="11" xfId="0" applyNumberFormat="1" applyFont="1" applyFill="1" applyBorder="1" applyAlignment="1">
      <alignment horizontal="center" vertical="center" wrapText="1"/>
    </xf>
    <xf numFmtId="164" fontId="58" fillId="33" borderId="11" xfId="42" applyNumberFormat="1" applyFont="1" applyFill="1" applyBorder="1" applyAlignment="1">
      <alignment horizontal="center" vertical="center" wrapText="1"/>
    </xf>
    <xf numFmtId="164" fontId="58" fillId="0" borderId="11" xfId="42" applyNumberFormat="1" applyFont="1" applyFill="1" applyBorder="1" applyAlignment="1">
      <alignment vertical="center" wrapText="1"/>
    </xf>
    <xf numFmtId="164" fontId="57" fillId="0" borderId="0" xfId="42" applyNumberFormat="1" applyFont="1" applyAlignment="1">
      <alignment horizontal="center" vertical="center"/>
    </xf>
    <xf numFmtId="0" fontId="58" fillId="33" borderId="10" xfId="0" applyFont="1" applyFill="1" applyBorder="1" applyAlignment="1">
      <alignment horizontal="center" vertical="center" wrapText="1"/>
    </xf>
    <xf numFmtId="0" fontId="58" fillId="33" borderId="15" xfId="0" applyFont="1" applyFill="1" applyBorder="1" applyAlignment="1">
      <alignment horizontal="center" vertical="center" wrapText="1"/>
    </xf>
    <xf numFmtId="164" fontId="7" fillId="0" borderId="22" xfId="42" applyNumberFormat="1" applyFont="1" applyFill="1" applyBorder="1" applyAlignment="1">
      <alignment horizontal="left" vertical="center" wrapText="1" indent="2"/>
    </xf>
    <xf numFmtId="164" fontId="10" fillId="0" borderId="22" xfId="42" applyNumberFormat="1" applyFont="1" applyFill="1" applyBorder="1" applyAlignment="1">
      <alignment horizontal="left" vertical="center" wrapText="1" indent="2"/>
    </xf>
    <xf numFmtId="1" fontId="10" fillId="33" borderId="22" xfId="42" applyNumberFormat="1" applyFont="1" applyFill="1" applyBorder="1" applyAlignment="1">
      <alignment horizontal="center" vertical="center"/>
    </xf>
    <xf numFmtId="0" fontId="58" fillId="33" borderId="16" xfId="0" applyFont="1" applyFill="1" applyBorder="1" applyAlignment="1">
      <alignment horizontal="center" vertical="center" wrapText="1"/>
    </xf>
    <xf numFmtId="9" fontId="58" fillId="33" borderId="16" xfId="0" applyNumberFormat="1" applyFont="1" applyFill="1" applyBorder="1" applyAlignment="1">
      <alignment horizontal="center" vertical="center" wrapText="1"/>
    </xf>
    <xf numFmtId="9" fontId="58" fillId="33" borderId="15" xfId="0" applyNumberFormat="1"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9" fillId="33" borderId="10" xfId="0" applyFont="1" applyFill="1" applyBorder="1" applyAlignment="1">
      <alignment horizontal="center" vertical="center" wrapText="1"/>
    </xf>
    <xf numFmtId="164" fontId="7" fillId="0" borderId="22" xfId="42"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NumberFormat="1" applyFont="1" applyFill="1" applyBorder="1" applyAlignment="1">
      <alignment horizontal="left" vertical="center"/>
    </xf>
    <xf numFmtId="0" fontId="7" fillId="0" borderId="13" xfId="0" applyNumberFormat="1" applyFont="1" applyFill="1" applyBorder="1" applyAlignment="1">
      <alignment horizontal="left" vertical="center" wrapText="1"/>
    </xf>
    <xf numFmtId="0" fontId="57" fillId="0" borderId="0" xfId="0" applyFont="1" applyAlignment="1">
      <alignment horizontal="left" vertical="center"/>
    </xf>
    <xf numFmtId="0" fontId="58" fillId="0" borderId="0" xfId="0" applyFont="1" applyAlignment="1">
      <alignment horizontal="left" vertical="center"/>
    </xf>
    <xf numFmtId="43" fontId="58" fillId="0" borderId="0" xfId="42" applyFont="1" applyAlignment="1">
      <alignment vertical="center"/>
    </xf>
    <xf numFmtId="0" fontId="57" fillId="0" borderId="0" xfId="0" applyFont="1" applyBorder="1" applyAlignment="1">
      <alignment vertical="center"/>
    </xf>
    <xf numFmtId="164" fontId="10" fillId="33" borderId="13" xfId="42" applyNumberFormat="1" applyFont="1" applyFill="1" applyBorder="1" applyAlignment="1">
      <alignment horizontal="left" vertical="center" wrapText="1" indent="4"/>
    </xf>
    <xf numFmtId="0" fontId="57" fillId="0" borderId="0" xfId="0" applyFont="1" applyAlignment="1">
      <alignment horizontal="left" vertical="center"/>
    </xf>
    <xf numFmtId="0" fontId="54" fillId="0" borderId="10" xfId="0" applyFont="1" applyBorder="1" applyAlignment="1">
      <alignment horizontal="center" vertical="center"/>
    </xf>
    <xf numFmtId="43" fontId="54" fillId="0" borderId="10" xfId="42" applyFont="1" applyBorder="1" applyAlignment="1">
      <alignment horizontal="center" vertical="center"/>
    </xf>
    <xf numFmtId="9" fontId="54" fillId="0" borderId="10" xfId="0" applyNumberFormat="1" applyFont="1" applyBorder="1" applyAlignment="1">
      <alignment horizontal="center" vertical="center"/>
    </xf>
    <xf numFmtId="0" fontId="0" fillId="0" borderId="0" xfId="0" applyAlignment="1">
      <alignment vertical="center"/>
    </xf>
    <xf numFmtId="0" fontId="57" fillId="0" borderId="0" xfId="0" applyFont="1" applyAlignment="1">
      <alignment horizontal="left" vertical="center"/>
    </xf>
    <xf numFmtId="0" fontId="57" fillId="0" borderId="18" xfId="0" applyFont="1" applyBorder="1" applyAlignment="1">
      <alignment horizontal="center" vertical="center"/>
    </xf>
    <xf numFmtId="164" fontId="10" fillId="0" borderId="10" xfId="42" applyNumberFormat="1" applyFont="1" applyFill="1" applyBorder="1" applyAlignment="1">
      <alignment horizontal="left" vertical="center" wrapText="1" indent="2"/>
    </xf>
    <xf numFmtId="0" fontId="7" fillId="0" borderId="10" xfId="0" applyNumberFormat="1" applyFont="1" applyFill="1" applyBorder="1" applyAlignment="1">
      <alignment horizontal="left" vertical="center" indent="2"/>
    </xf>
    <xf numFmtId="0" fontId="7" fillId="0" borderId="19" xfId="0" applyNumberFormat="1" applyFont="1" applyFill="1" applyBorder="1" applyAlignment="1">
      <alignment horizontal="left" vertical="center" wrapText="1"/>
    </xf>
    <xf numFmtId="43" fontId="54" fillId="0" borderId="10" xfId="42" applyFont="1" applyBorder="1" applyAlignment="1">
      <alignment horizontal="center" vertical="center"/>
    </xf>
    <xf numFmtId="49" fontId="55" fillId="33" borderId="11" xfId="42" applyNumberFormat="1" applyFont="1" applyFill="1" applyBorder="1" applyAlignment="1">
      <alignment horizontal="center" vertical="center" wrapText="1"/>
    </xf>
    <xf numFmtId="0" fontId="54" fillId="0" borderId="10" xfId="0" applyFont="1" applyBorder="1" applyAlignment="1">
      <alignment horizontal="justify" vertical="center"/>
    </xf>
    <xf numFmtId="0" fontId="55" fillId="33" borderId="11" xfId="0" applyFont="1" applyFill="1" applyBorder="1" applyAlignment="1">
      <alignment horizontal="justify" vertical="center"/>
    </xf>
    <xf numFmtId="0" fontId="54" fillId="0" borderId="15" xfId="0" applyFont="1" applyBorder="1" applyAlignment="1">
      <alignment horizontal="justify" vertical="center"/>
    </xf>
    <xf numFmtId="0" fontId="54" fillId="0" borderId="16" xfId="0" applyFont="1" applyBorder="1" applyAlignment="1">
      <alignment horizontal="justify" vertical="center" wrapText="1"/>
    </xf>
    <xf numFmtId="0" fontId="57" fillId="0" borderId="10" xfId="0" applyFont="1" applyBorder="1" applyAlignment="1">
      <alignment horizontal="justify" vertical="center"/>
    </xf>
    <xf numFmtId="49" fontId="54" fillId="0" borderId="10" xfId="0" applyNumberFormat="1" applyFont="1" applyBorder="1" applyAlignment="1">
      <alignment horizontal="justify" vertical="center" wrapText="1"/>
    </xf>
    <xf numFmtId="49" fontId="55" fillId="33" borderId="11" xfId="0" applyNumberFormat="1" applyFont="1" applyFill="1" applyBorder="1" applyAlignment="1">
      <alignment horizontal="justify" vertical="center" wrapText="1"/>
    </xf>
    <xf numFmtId="0" fontId="60" fillId="0" borderId="0" xfId="0" applyFont="1" applyAlignment="1">
      <alignment horizontal="center" vertical="center"/>
    </xf>
    <xf numFmtId="9" fontId="54" fillId="0" borderId="10" xfId="0" applyNumberFormat="1" applyFont="1" applyBorder="1" applyAlignment="1">
      <alignment horizontal="center" vertical="center"/>
    </xf>
    <xf numFmtId="0" fontId="55" fillId="0" borderId="10" xfId="0" applyFont="1" applyBorder="1" applyAlignment="1">
      <alignment vertical="center" wrapText="1"/>
    </xf>
    <xf numFmtId="9" fontId="54" fillId="0" borderId="10" xfId="0" applyNumberFormat="1" applyFont="1" applyFill="1" applyBorder="1" applyAlignment="1">
      <alignment horizontal="center" vertical="center"/>
    </xf>
    <xf numFmtId="0" fontId="54" fillId="0" borderId="10" xfId="0" applyFont="1" applyFill="1" applyBorder="1" applyAlignment="1">
      <alignment horizontal="justify" vertical="center" wrapText="1"/>
    </xf>
    <xf numFmtId="0" fontId="54" fillId="0" borderId="0" xfId="0" applyFont="1" applyFill="1" applyAlignment="1">
      <alignment vertical="center"/>
    </xf>
    <xf numFmtId="0" fontId="55" fillId="0" borderId="10" xfId="0" applyFont="1" applyFill="1" applyBorder="1" applyAlignment="1">
      <alignment horizontal="center" vertical="center"/>
    </xf>
    <xf numFmtId="0" fontId="55" fillId="0" borderId="10" xfId="0" applyFont="1" applyFill="1" applyBorder="1" applyAlignment="1">
      <alignment vertical="center" wrapText="1"/>
    </xf>
    <xf numFmtId="9" fontId="54" fillId="0" borderId="10" xfId="0" applyNumberFormat="1" applyFont="1" applyBorder="1" applyAlignment="1">
      <alignment vertical="center"/>
    </xf>
    <xf numFmtId="0" fontId="54" fillId="0" borderId="22" xfId="0" applyFont="1" applyBorder="1" applyAlignment="1">
      <alignment vertical="center" wrapText="1"/>
    </xf>
    <xf numFmtId="43" fontId="54" fillId="0" borderId="22" xfId="42" applyFont="1" applyBorder="1" applyAlignment="1">
      <alignment vertical="center"/>
    </xf>
    <xf numFmtId="9" fontId="54" fillId="0" borderId="22" xfId="0" applyNumberFormat="1" applyFont="1" applyBorder="1" applyAlignment="1">
      <alignment vertical="center"/>
    </xf>
    <xf numFmtId="0" fontId="55" fillId="0" borderId="13" xfId="0" applyFont="1" applyBorder="1" applyAlignment="1">
      <alignment horizontal="center" vertical="center"/>
    </xf>
    <xf numFmtId="0" fontId="55" fillId="0" borderId="13" xfId="0" applyFont="1" applyBorder="1" applyAlignment="1">
      <alignment vertical="center" wrapText="1"/>
    </xf>
    <xf numFmtId="43" fontId="54" fillId="0" borderId="13" xfId="42" applyFont="1" applyBorder="1" applyAlignment="1">
      <alignment vertical="center"/>
    </xf>
    <xf numFmtId="9" fontId="54" fillId="0" borderId="13" xfId="0" applyNumberFormat="1" applyFont="1" applyBorder="1" applyAlignment="1">
      <alignment horizontal="center" vertical="center"/>
    </xf>
    <xf numFmtId="43" fontId="54" fillId="0" borderId="13" xfId="42" applyFont="1" applyBorder="1" applyAlignment="1">
      <alignment horizontal="center" vertical="center"/>
    </xf>
    <xf numFmtId="0" fontId="54" fillId="0" borderId="13" xfId="0" applyFont="1" applyBorder="1" applyAlignment="1">
      <alignment vertical="center"/>
    </xf>
    <xf numFmtId="0" fontId="54" fillId="0" borderId="13" xfId="0" applyFont="1" applyBorder="1" applyAlignment="1">
      <alignment vertical="center" wrapText="1"/>
    </xf>
    <xf numFmtId="0" fontId="55" fillId="0" borderId="13" xfId="0" applyFont="1" applyFill="1" applyBorder="1" applyAlignment="1">
      <alignment horizontal="center" vertical="center"/>
    </xf>
    <xf numFmtId="0" fontId="55" fillId="0" borderId="13" xfId="0" applyFont="1" applyFill="1" applyBorder="1" applyAlignment="1">
      <alignment vertical="center" wrapText="1"/>
    </xf>
    <xf numFmtId="43" fontId="54" fillId="0" borderId="13" xfId="42" applyFont="1" applyFill="1" applyBorder="1" applyAlignment="1">
      <alignment vertical="center"/>
    </xf>
    <xf numFmtId="9" fontId="54" fillId="0" borderId="13" xfId="0" applyNumberFormat="1" applyFont="1" applyFill="1" applyBorder="1" applyAlignment="1">
      <alignment horizontal="center" vertical="center"/>
    </xf>
    <xf numFmtId="43" fontId="54" fillId="0" borderId="13" xfId="42" applyFont="1" applyFill="1" applyBorder="1" applyAlignment="1">
      <alignment horizontal="center" vertical="center"/>
    </xf>
    <xf numFmtId="0" fontId="54" fillId="0" borderId="13" xfId="0" applyFont="1" applyFill="1" applyBorder="1" applyAlignment="1">
      <alignment horizontal="justify" vertical="center" wrapText="1"/>
    </xf>
    <xf numFmtId="0" fontId="55" fillId="0" borderId="0" xfId="0" applyFont="1" applyFill="1" applyAlignment="1">
      <alignment vertical="center" wrapText="1"/>
    </xf>
    <xf numFmtId="10" fontId="55" fillId="34" borderId="24" xfId="0" applyNumberFormat="1" applyFont="1" applyFill="1" applyBorder="1" applyAlignment="1">
      <alignment horizontal="center" vertical="center" wrapText="1"/>
    </xf>
    <xf numFmtId="10" fontId="55" fillId="34" borderId="11" xfId="0" applyNumberFormat="1"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4" fillId="0" borderId="22" xfId="0" applyFont="1" applyBorder="1" applyAlignment="1">
      <alignment horizontal="left" vertical="center" wrapText="1"/>
    </xf>
    <xf numFmtId="0" fontId="54" fillId="0" borderId="13" xfId="0" applyFont="1" applyBorder="1" applyAlignment="1">
      <alignment horizontal="left" vertical="center" wrapText="1"/>
    </xf>
    <xf numFmtId="9" fontId="54" fillId="0" borderId="13" xfId="0" applyNumberFormat="1" applyFont="1" applyBorder="1" applyAlignment="1">
      <alignment vertical="center"/>
    </xf>
    <xf numFmtId="0" fontId="57" fillId="0" borderId="0" xfId="0" applyFont="1" applyAlignment="1">
      <alignment horizontal="left" vertical="center"/>
    </xf>
    <xf numFmtId="0" fontId="55" fillId="0" borderId="0" xfId="0" applyFont="1" applyAlignment="1">
      <alignment horizontal="center" vertical="center"/>
    </xf>
    <xf numFmtId="0" fontId="58" fillId="33" borderId="25"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7" fillId="0" borderId="0" xfId="0" applyFont="1" applyAlignment="1">
      <alignment horizontal="left" vertical="center" wrapText="1"/>
    </xf>
    <xf numFmtId="0" fontId="58" fillId="33" borderId="26"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60" fillId="0" borderId="0" xfId="0" applyFont="1" applyAlignment="1">
      <alignment horizontal="center" vertical="center"/>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0" xfId="0" applyFont="1" applyAlignment="1">
      <alignment horizontal="left" vertical="center" wrapText="1"/>
    </xf>
    <xf numFmtId="0" fontId="54" fillId="0" borderId="10" xfId="0" applyFont="1" applyBorder="1" applyAlignment="1">
      <alignment horizontal="justify" vertical="center" wrapText="1"/>
    </xf>
    <xf numFmtId="0" fontId="54" fillId="0" borderId="15" xfId="0" applyFont="1" applyBorder="1" applyAlignment="1">
      <alignment horizontal="justify" vertical="center" wrapText="1"/>
    </xf>
    <xf numFmtId="0" fontId="54" fillId="0" borderId="16" xfId="0" applyFont="1" applyBorder="1" applyAlignment="1">
      <alignment horizontal="justify"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43" fontId="54" fillId="0" borderId="10" xfId="42" applyFont="1" applyBorder="1" applyAlignment="1">
      <alignment horizontal="center" vertical="center"/>
    </xf>
    <xf numFmtId="9" fontId="54" fillId="0" borderId="10" xfId="0" applyNumberFormat="1" applyFont="1" applyBorder="1" applyAlignment="1">
      <alignment horizontal="center" vertical="center"/>
    </xf>
    <xf numFmtId="10" fontId="55" fillId="34" borderId="15" xfId="0" applyNumberFormat="1" applyFont="1" applyFill="1" applyBorder="1" applyAlignment="1">
      <alignment horizontal="center" vertical="center" wrapText="1"/>
    </xf>
    <xf numFmtId="10" fontId="55" fillId="34" borderId="16" xfId="0" applyNumberFormat="1"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61" fillId="0" borderId="0" xfId="0" applyFont="1" applyAlignment="1">
      <alignment horizontal="center" vertical="center"/>
    </xf>
    <xf numFmtId="0" fontId="54" fillId="0" borderId="22" xfId="0" applyFont="1" applyBorder="1" applyAlignment="1">
      <alignment horizontal="center" vertical="center"/>
    </xf>
    <xf numFmtId="0" fontId="55" fillId="34" borderId="26" xfId="0" applyNumberFormat="1" applyFont="1" applyFill="1" applyBorder="1" applyAlignment="1">
      <alignment horizontal="center" vertical="center"/>
    </xf>
    <xf numFmtId="0" fontId="55" fillId="34" borderId="27" xfId="0" applyNumberFormat="1" applyFont="1" applyFill="1" applyBorder="1" applyAlignment="1">
      <alignment horizontal="center" vertical="center"/>
    </xf>
    <xf numFmtId="0" fontId="55" fillId="34" borderId="24" xfId="0" applyNumberFormat="1" applyFont="1" applyFill="1" applyBorder="1" applyAlignment="1">
      <alignment horizontal="center" vertical="center"/>
    </xf>
    <xf numFmtId="0" fontId="54" fillId="34" borderId="15" xfId="0" applyFont="1" applyFill="1" applyBorder="1" applyAlignment="1">
      <alignment horizontal="center" vertical="center"/>
    </xf>
    <xf numFmtId="0" fontId="54" fillId="34" borderId="16" xfId="0" applyFont="1" applyFill="1" applyBorder="1" applyAlignment="1">
      <alignment horizontal="center" vertical="center"/>
    </xf>
    <xf numFmtId="49" fontId="55" fillId="34" borderId="15" xfId="42" applyNumberFormat="1" applyFont="1" applyFill="1" applyBorder="1" applyAlignment="1">
      <alignment horizontal="center" vertical="center" wrapText="1"/>
    </xf>
    <xf numFmtId="49" fontId="55" fillId="34" borderId="16" xfId="42" applyNumberFormat="1" applyFont="1" applyFill="1" applyBorder="1" applyAlignment="1">
      <alignment horizontal="center" vertical="center" wrapText="1"/>
    </xf>
    <xf numFmtId="43" fontId="55" fillId="34" borderId="15" xfId="42" applyFont="1" applyFill="1" applyBorder="1" applyAlignment="1">
      <alignment horizontal="center" vertical="center" wrapText="1"/>
    </xf>
    <xf numFmtId="43" fontId="55" fillId="34" borderId="16" xfId="42"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66675</xdr:rowOff>
    </xdr:from>
    <xdr:to>
      <xdr:col>1</xdr:col>
      <xdr:colOff>762000</xdr:colOff>
      <xdr:row>2</xdr:row>
      <xdr:rowOff>19050</xdr:rowOff>
    </xdr:to>
    <xdr:sp>
      <xdr:nvSpPr>
        <xdr:cNvPr id="1" name="TextBox 1"/>
        <xdr:cNvSpPr txBox="1">
          <a:spLocks noChangeArrowheads="1"/>
        </xdr:cNvSpPr>
      </xdr:nvSpPr>
      <xdr:spPr>
        <a:xfrm>
          <a:off x="285750" y="228600"/>
          <a:ext cx="790575"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latin typeface="Calibri"/>
              <a:ea typeface="Calibri"/>
              <a:cs typeface="Calibri"/>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K37"/>
  <sheetViews>
    <sheetView zoomScalePageLayoutView="0" workbookViewId="0" topLeftCell="A1">
      <pane xSplit="2" ySplit="8" topLeftCell="C21" activePane="bottomRight" state="frozen"/>
      <selection pane="topLeft" activeCell="A1" sqref="A1"/>
      <selection pane="topRight" activeCell="C1" sqref="C1"/>
      <selection pane="bottomLeft" activeCell="A9" sqref="A9"/>
      <selection pane="bottomRight" activeCell="G16" sqref="G16"/>
    </sheetView>
  </sheetViews>
  <sheetFormatPr defaultColWidth="9.140625" defaultRowHeight="15"/>
  <cols>
    <col min="1" max="1" width="4.7109375" style="141" customWidth="1"/>
    <col min="2" max="2" width="11.421875" style="142" customWidth="1"/>
    <col min="3" max="4" width="13.28125" style="143" customWidth="1"/>
    <col min="5" max="5" width="11.8515625" style="144" customWidth="1"/>
    <col min="6" max="8" width="13.28125" style="141" customWidth="1"/>
    <col min="9" max="9" width="0.71875" style="146" hidden="1" customWidth="1"/>
    <col min="10" max="10" width="1.57421875" style="146" hidden="1" customWidth="1"/>
    <col min="11" max="11" width="7.57421875" style="146" hidden="1" customWidth="1"/>
    <col min="12" max="16384" width="9.140625" style="146" customWidth="1"/>
  </cols>
  <sheetData>
    <row r="1" ht="12.75">
      <c r="H1" s="145" t="s">
        <v>18</v>
      </c>
    </row>
    <row r="2" spans="1:9" ht="15" customHeight="1">
      <c r="A2" s="252" t="s">
        <v>16</v>
      </c>
      <c r="B2" s="252"/>
      <c r="C2" s="252"/>
      <c r="D2" s="252"/>
      <c r="E2" s="252"/>
      <c r="F2" s="252"/>
      <c r="G2" s="252"/>
      <c r="H2" s="252"/>
      <c r="I2" s="252"/>
    </row>
    <row r="3" spans="1:9" ht="15" customHeight="1">
      <c r="A3" s="252" t="s">
        <v>17</v>
      </c>
      <c r="B3" s="252"/>
      <c r="C3" s="252"/>
      <c r="D3" s="252"/>
      <c r="E3" s="252"/>
      <c r="F3" s="252"/>
      <c r="G3" s="252"/>
      <c r="H3" s="252"/>
      <c r="I3" s="252"/>
    </row>
    <row r="4" spans="1:8" ht="14.25">
      <c r="A4" s="78" t="s">
        <v>46</v>
      </c>
      <c r="H4" s="147"/>
    </row>
    <row r="5" spans="1:9" s="150" customFormat="1" ht="62.25" customHeight="1">
      <c r="A5" s="253" t="s">
        <v>109</v>
      </c>
      <c r="B5" s="254"/>
      <c r="C5" s="179" t="s">
        <v>22</v>
      </c>
      <c r="D5" s="179" t="s">
        <v>6</v>
      </c>
      <c r="E5" s="185" t="s">
        <v>119</v>
      </c>
      <c r="F5" s="179" t="s">
        <v>38</v>
      </c>
      <c r="G5" s="179" t="s">
        <v>39</v>
      </c>
      <c r="H5" s="179" t="s">
        <v>115</v>
      </c>
      <c r="I5" s="148" t="s">
        <v>40</v>
      </c>
    </row>
    <row r="6" spans="1:9" s="150" customFormat="1" ht="15" customHeight="1">
      <c r="A6" s="188"/>
      <c r="B6" s="186"/>
      <c r="C6" s="178" t="s">
        <v>118</v>
      </c>
      <c r="D6" s="178" t="s">
        <v>118</v>
      </c>
      <c r="E6" s="190" t="s">
        <v>1</v>
      </c>
      <c r="F6" s="178" t="s">
        <v>118</v>
      </c>
      <c r="G6" s="178" t="s">
        <v>118</v>
      </c>
      <c r="H6" s="178" t="s">
        <v>118</v>
      </c>
      <c r="I6" s="179"/>
    </row>
    <row r="7" spans="1:9" s="150" customFormat="1" ht="15" customHeight="1">
      <c r="A7" s="188"/>
      <c r="B7" s="186"/>
      <c r="C7" s="178" t="s">
        <v>110</v>
      </c>
      <c r="D7" s="178" t="s">
        <v>111</v>
      </c>
      <c r="E7" s="178" t="s">
        <v>112</v>
      </c>
      <c r="F7" s="178" t="s">
        <v>113</v>
      </c>
      <c r="G7" s="178" t="s">
        <v>114</v>
      </c>
      <c r="H7" s="178" t="s">
        <v>116</v>
      </c>
      <c r="I7" s="179"/>
    </row>
    <row r="8" spans="1:9" s="150" customFormat="1" ht="14.25" customHeight="1">
      <c r="A8" s="189"/>
      <c r="B8" s="187"/>
      <c r="C8" s="183"/>
      <c r="D8" s="183"/>
      <c r="E8" s="184"/>
      <c r="F8" s="183"/>
      <c r="G8" s="183"/>
      <c r="H8" s="183" t="s">
        <v>117</v>
      </c>
      <c r="I8" s="179"/>
    </row>
    <row r="9" spans="1:11" ht="24.75" customHeight="1">
      <c r="A9" s="151">
        <v>1</v>
      </c>
      <c r="B9" s="191" t="s">
        <v>47</v>
      </c>
      <c r="C9" s="181">
        <v>1263</v>
      </c>
      <c r="D9" s="181">
        <v>630.0799999999999</v>
      </c>
      <c r="E9" s="182">
        <f>D9/C9*100</f>
        <v>49.88756927949326</v>
      </c>
      <c r="F9" s="181">
        <v>158.06</v>
      </c>
      <c r="G9" s="181">
        <v>424.16999999999996</v>
      </c>
      <c r="H9" s="181">
        <f>+G9+F9</f>
        <v>582.23</v>
      </c>
      <c r="I9" s="152"/>
      <c r="K9" s="154">
        <f aca="true" t="shared" si="0" ref="K9:K29">+C9-D9-F9-G9</f>
        <v>50.69000000000011</v>
      </c>
    </row>
    <row r="10" spans="1:11" ht="24.75" customHeight="1">
      <c r="A10" s="155">
        <v>2</v>
      </c>
      <c r="B10" s="192" t="s">
        <v>69</v>
      </c>
      <c r="C10" s="39">
        <v>787</v>
      </c>
      <c r="D10" s="39">
        <v>303.01</v>
      </c>
      <c r="E10" s="167">
        <f aca="true" t="shared" si="1" ref="E10:E28">D10/C10*100</f>
        <v>38.50190597204574</v>
      </c>
      <c r="F10" s="39">
        <v>142.95</v>
      </c>
      <c r="G10" s="39">
        <v>341.03999999999996</v>
      </c>
      <c r="H10" s="39">
        <f>+G10+F10</f>
        <v>483.98999999999995</v>
      </c>
      <c r="I10" s="22"/>
      <c r="K10" s="154">
        <f t="shared" si="0"/>
        <v>0</v>
      </c>
    </row>
    <row r="11" spans="1:11" ht="24.75" customHeight="1">
      <c r="A11" s="155">
        <v>3</v>
      </c>
      <c r="B11" s="193" t="s">
        <v>49</v>
      </c>
      <c r="C11" s="39">
        <v>2621</v>
      </c>
      <c r="D11" s="39">
        <v>817</v>
      </c>
      <c r="E11" s="167">
        <f t="shared" si="1"/>
        <v>31.171308660816482</v>
      </c>
      <c r="F11" s="39">
        <v>247</v>
      </c>
      <c r="G11" s="39">
        <v>1357</v>
      </c>
      <c r="H11" s="39">
        <f aca="true" t="shared" si="2" ref="H11:H27">+G11+F11</f>
        <v>1604</v>
      </c>
      <c r="I11" s="156"/>
      <c r="K11" s="154">
        <f t="shared" si="0"/>
        <v>200</v>
      </c>
    </row>
    <row r="12" spans="1:11" ht="24.75" customHeight="1">
      <c r="A12" s="155">
        <v>4</v>
      </c>
      <c r="B12" s="193" t="s">
        <v>50</v>
      </c>
      <c r="C12" s="39">
        <v>1251</v>
      </c>
      <c r="D12" s="39">
        <v>302.44</v>
      </c>
      <c r="E12" s="167">
        <f t="shared" si="1"/>
        <v>24.17585931254996</v>
      </c>
      <c r="F12" s="39">
        <v>200.59</v>
      </c>
      <c r="G12" s="39">
        <v>352.03999999999996</v>
      </c>
      <c r="H12" s="39">
        <f t="shared" si="2"/>
        <v>552.63</v>
      </c>
      <c r="I12" s="156"/>
      <c r="K12" s="154">
        <f t="shared" si="0"/>
        <v>395.92999999999995</v>
      </c>
    </row>
    <row r="13" spans="1:11" s="157" customFormat="1" ht="24.75" customHeight="1">
      <c r="A13" s="155">
        <v>5</v>
      </c>
      <c r="B13" s="193" t="s">
        <v>51</v>
      </c>
      <c r="C13" s="39">
        <v>1545</v>
      </c>
      <c r="D13" s="39">
        <v>816.03</v>
      </c>
      <c r="E13" s="167">
        <f t="shared" si="1"/>
        <v>52.81747572815534</v>
      </c>
      <c r="F13" s="39">
        <v>313</v>
      </c>
      <c r="G13" s="39">
        <v>310.41999999999996</v>
      </c>
      <c r="H13" s="39">
        <f t="shared" si="2"/>
        <v>623.42</v>
      </c>
      <c r="I13" s="156"/>
      <c r="K13" s="154">
        <f t="shared" si="0"/>
        <v>105.55000000000007</v>
      </c>
    </row>
    <row r="14" spans="1:11" ht="24.75" customHeight="1">
      <c r="A14" s="155">
        <v>6</v>
      </c>
      <c r="B14" s="194" t="s">
        <v>70</v>
      </c>
      <c r="C14" s="39">
        <v>2417</v>
      </c>
      <c r="D14" s="39">
        <v>851.2</v>
      </c>
      <c r="E14" s="167">
        <f t="shared" si="1"/>
        <v>35.217211419114605</v>
      </c>
      <c r="F14" s="39">
        <v>107.1</v>
      </c>
      <c r="G14" s="39">
        <v>1450.1999999999998</v>
      </c>
      <c r="H14" s="39">
        <f t="shared" si="2"/>
        <v>1557.2999999999997</v>
      </c>
      <c r="I14" s="158"/>
      <c r="K14" s="154">
        <f t="shared" si="0"/>
        <v>8.500000000000227</v>
      </c>
    </row>
    <row r="15" spans="1:11" ht="24.75" customHeight="1">
      <c r="A15" s="155">
        <v>7</v>
      </c>
      <c r="B15" s="193" t="s">
        <v>53</v>
      </c>
      <c r="C15" s="39">
        <v>1409</v>
      </c>
      <c r="D15" s="39">
        <v>593.36</v>
      </c>
      <c r="E15" s="167">
        <f t="shared" si="1"/>
        <v>42.11213626685593</v>
      </c>
      <c r="F15" s="39">
        <v>636.71</v>
      </c>
      <c r="G15" s="39">
        <v>180</v>
      </c>
      <c r="H15" s="39">
        <f t="shared" si="2"/>
        <v>816.71</v>
      </c>
      <c r="I15" s="156"/>
      <c r="K15" s="154">
        <f t="shared" si="0"/>
        <v>-1.07000000000005</v>
      </c>
    </row>
    <row r="16" spans="1:11" ht="24.75" customHeight="1">
      <c r="A16" s="155">
        <v>8</v>
      </c>
      <c r="B16" s="193" t="s">
        <v>123</v>
      </c>
      <c r="C16" s="39">
        <f>130+100</f>
        <v>230</v>
      </c>
      <c r="D16" s="39">
        <v>88.05</v>
      </c>
      <c r="E16" s="167">
        <f t="shared" si="1"/>
        <v>38.28260869565217</v>
      </c>
      <c r="F16" s="39"/>
      <c r="G16" s="39"/>
      <c r="H16" s="39"/>
      <c r="I16" s="156"/>
      <c r="K16" s="154"/>
    </row>
    <row r="17" spans="1:11" ht="24.75" customHeight="1">
      <c r="A17" s="155">
        <v>9</v>
      </c>
      <c r="B17" s="193" t="s">
        <v>54</v>
      </c>
      <c r="C17" s="39">
        <v>753</v>
      </c>
      <c r="D17" s="39">
        <v>436.3</v>
      </c>
      <c r="E17" s="167">
        <f t="shared" si="1"/>
        <v>57.94156706507304</v>
      </c>
      <c r="F17" s="39">
        <v>34</v>
      </c>
      <c r="G17" s="39">
        <v>51.2</v>
      </c>
      <c r="H17" s="39">
        <f t="shared" si="2"/>
        <v>85.2</v>
      </c>
      <c r="I17" s="156"/>
      <c r="K17" s="154">
        <f t="shared" si="0"/>
        <v>231.5</v>
      </c>
    </row>
    <row r="18" spans="1:11" s="157" customFormat="1" ht="24.75" customHeight="1">
      <c r="A18" s="155">
        <v>10</v>
      </c>
      <c r="B18" s="193" t="s">
        <v>55</v>
      </c>
      <c r="C18" s="39">
        <v>1147</v>
      </c>
      <c r="D18" s="39">
        <v>387.98</v>
      </c>
      <c r="E18" s="167">
        <f t="shared" si="1"/>
        <v>33.8256320836966</v>
      </c>
      <c r="F18" s="39">
        <v>380</v>
      </c>
      <c r="G18" s="39">
        <v>296</v>
      </c>
      <c r="H18" s="39">
        <f t="shared" si="2"/>
        <v>676</v>
      </c>
      <c r="I18" s="156"/>
      <c r="K18" s="154">
        <f t="shared" si="0"/>
        <v>83.01999999999998</v>
      </c>
    </row>
    <row r="19" spans="1:11" ht="24.75" customHeight="1">
      <c r="A19" s="155">
        <v>11</v>
      </c>
      <c r="B19" s="193" t="s">
        <v>56</v>
      </c>
      <c r="C19" s="39">
        <v>870</v>
      </c>
      <c r="D19" s="39">
        <v>106.25999999999999</v>
      </c>
      <c r="E19" s="167">
        <f t="shared" si="1"/>
        <v>12.213793103448275</v>
      </c>
      <c r="F19" s="39">
        <v>266.91</v>
      </c>
      <c r="G19" s="39">
        <v>205.99</v>
      </c>
      <c r="H19" s="39">
        <f t="shared" si="2"/>
        <v>472.90000000000003</v>
      </c>
      <c r="I19" s="156"/>
      <c r="K19" s="154">
        <f t="shared" si="0"/>
        <v>290.84</v>
      </c>
    </row>
    <row r="20" spans="1:11" s="157" customFormat="1" ht="24.75" customHeight="1">
      <c r="A20" s="155">
        <v>12</v>
      </c>
      <c r="B20" s="193" t="s">
        <v>57</v>
      </c>
      <c r="C20" s="39">
        <v>702</v>
      </c>
      <c r="D20" s="39">
        <v>165.51</v>
      </c>
      <c r="E20" s="167">
        <f t="shared" si="1"/>
        <v>23.576923076923077</v>
      </c>
      <c r="F20" s="39">
        <v>348.8</v>
      </c>
      <c r="G20" s="39">
        <v>187.69</v>
      </c>
      <c r="H20" s="39">
        <f t="shared" si="2"/>
        <v>536.49</v>
      </c>
      <c r="I20" s="156"/>
      <c r="K20" s="154">
        <f t="shared" si="0"/>
        <v>0</v>
      </c>
    </row>
    <row r="21" spans="1:11" ht="24.75" customHeight="1">
      <c r="A21" s="155">
        <v>13</v>
      </c>
      <c r="B21" s="193" t="s">
        <v>58</v>
      </c>
      <c r="C21" s="39">
        <v>1416</v>
      </c>
      <c r="D21" s="39">
        <v>404.68</v>
      </c>
      <c r="E21" s="167">
        <f t="shared" si="1"/>
        <v>28.579096045197737</v>
      </c>
      <c r="F21" s="39">
        <v>180.1</v>
      </c>
      <c r="G21" s="39">
        <v>419.33</v>
      </c>
      <c r="H21" s="39">
        <f t="shared" si="2"/>
        <v>599.43</v>
      </c>
      <c r="I21" s="156"/>
      <c r="K21" s="154">
        <f t="shared" si="0"/>
        <v>411.88999999999993</v>
      </c>
    </row>
    <row r="22" spans="1:11" ht="24.75" customHeight="1">
      <c r="A22" s="155">
        <v>14</v>
      </c>
      <c r="B22" s="193" t="s">
        <v>59</v>
      </c>
      <c r="C22" s="39">
        <v>421</v>
      </c>
      <c r="D22" s="39">
        <v>182.63</v>
      </c>
      <c r="E22" s="167">
        <f t="shared" si="1"/>
        <v>43.38004750593824</v>
      </c>
      <c r="F22" s="39">
        <v>112</v>
      </c>
      <c r="G22" s="39">
        <v>125.97</v>
      </c>
      <c r="H22" s="39">
        <f t="shared" si="2"/>
        <v>237.97</v>
      </c>
      <c r="I22" s="156"/>
      <c r="K22" s="154">
        <f t="shared" si="0"/>
        <v>0.4000000000000057</v>
      </c>
    </row>
    <row r="23" spans="1:11" ht="24.75" customHeight="1">
      <c r="A23" s="155">
        <v>15</v>
      </c>
      <c r="B23" s="193" t="s">
        <v>60</v>
      </c>
      <c r="C23" s="39">
        <v>825</v>
      </c>
      <c r="D23" s="39">
        <v>160.57999999999998</v>
      </c>
      <c r="E23" s="167">
        <f t="shared" si="1"/>
        <v>19.46424242424242</v>
      </c>
      <c r="F23" s="39">
        <v>134.796</v>
      </c>
      <c r="G23" s="39">
        <v>186.05599999999998</v>
      </c>
      <c r="H23" s="39">
        <f t="shared" si="2"/>
        <v>320.852</v>
      </c>
      <c r="I23" s="156"/>
      <c r="K23" s="154">
        <f t="shared" si="0"/>
        <v>343.56800000000004</v>
      </c>
    </row>
    <row r="24" spans="1:11" ht="24.75" customHeight="1">
      <c r="A24" s="155">
        <v>16</v>
      </c>
      <c r="B24" s="193" t="s">
        <v>61</v>
      </c>
      <c r="C24" s="39">
        <v>515</v>
      </c>
      <c r="D24" s="39">
        <v>318.38</v>
      </c>
      <c r="E24" s="167">
        <f t="shared" si="1"/>
        <v>61.821359223300966</v>
      </c>
      <c r="F24" s="39">
        <v>97.35</v>
      </c>
      <c r="G24" s="39">
        <v>99.27000000000001</v>
      </c>
      <c r="H24" s="39">
        <f t="shared" si="2"/>
        <v>196.62</v>
      </c>
      <c r="I24" s="156"/>
      <c r="K24" s="154">
        <f t="shared" si="0"/>
        <v>0</v>
      </c>
    </row>
    <row r="25" spans="1:11" ht="24.75" customHeight="1">
      <c r="A25" s="155">
        <v>17</v>
      </c>
      <c r="B25" s="194" t="s">
        <v>121</v>
      </c>
      <c r="C25" s="39">
        <v>73</v>
      </c>
      <c r="D25" s="39">
        <f>3.76+4.32+7.55+2.57+23.7+0.93</f>
        <v>42.83</v>
      </c>
      <c r="E25" s="167">
        <f t="shared" si="1"/>
        <v>58.67123287671233</v>
      </c>
      <c r="F25" s="39"/>
      <c r="G25" s="39"/>
      <c r="H25" s="39"/>
      <c r="I25" s="156"/>
      <c r="K25" s="154"/>
    </row>
    <row r="26" spans="1:11" ht="24.75" customHeight="1">
      <c r="A26" s="155">
        <v>18</v>
      </c>
      <c r="B26" s="194" t="s">
        <v>122</v>
      </c>
      <c r="C26" s="39">
        <v>730</v>
      </c>
      <c r="D26" s="39">
        <f>31.9+6.6+152.4+46.15+1.88+3.6+12.77+36.85+25.41+3.42</f>
        <v>320.9800000000001</v>
      </c>
      <c r="E26" s="167">
        <f t="shared" si="1"/>
        <v>43.96986301369864</v>
      </c>
      <c r="F26" s="39"/>
      <c r="G26" s="39"/>
      <c r="H26" s="39"/>
      <c r="I26" s="156"/>
      <c r="K26" s="154"/>
    </row>
    <row r="27" spans="1:11" ht="24.75" customHeight="1">
      <c r="A27" s="155">
        <v>19</v>
      </c>
      <c r="B27" s="193" t="s">
        <v>62</v>
      </c>
      <c r="C27" s="39">
        <v>435</v>
      </c>
      <c r="D27" s="39">
        <v>74</v>
      </c>
      <c r="E27" s="167">
        <f t="shared" si="1"/>
        <v>17.011494252873565</v>
      </c>
      <c r="F27" s="39">
        <v>168</v>
      </c>
      <c r="G27" s="39">
        <v>145.6</v>
      </c>
      <c r="H27" s="39">
        <f t="shared" si="2"/>
        <v>313.6</v>
      </c>
      <c r="I27" s="156"/>
      <c r="K27" s="154">
        <f t="shared" si="0"/>
        <v>47.400000000000006</v>
      </c>
    </row>
    <row r="28" spans="1:11" ht="24.75" customHeight="1">
      <c r="A28" s="155">
        <v>20</v>
      </c>
      <c r="B28" s="193" t="s">
        <v>120</v>
      </c>
      <c r="C28" s="39">
        <f>108.1+625+483.9+15</f>
        <v>1232</v>
      </c>
      <c r="D28" s="39">
        <v>160.13</v>
      </c>
      <c r="E28" s="167">
        <f t="shared" si="1"/>
        <v>12.997564935064934</v>
      </c>
      <c r="F28" s="39"/>
      <c r="G28" s="39"/>
      <c r="H28" s="39"/>
      <c r="I28" s="156"/>
      <c r="K28" s="154">
        <f t="shared" si="0"/>
        <v>1071.87</v>
      </c>
    </row>
    <row r="29" spans="1:11" s="157" customFormat="1" ht="24.75" customHeight="1">
      <c r="A29" s="255" t="s">
        <v>5</v>
      </c>
      <c r="B29" s="256"/>
      <c r="C29" s="172">
        <f>SUM(C9:C28)</f>
        <v>20642</v>
      </c>
      <c r="D29" s="172">
        <f>SUM(D9:D28)</f>
        <v>7161.43</v>
      </c>
      <c r="E29" s="164">
        <f>D29/C29*100</f>
        <v>34.693489003003585</v>
      </c>
      <c r="F29" s="172">
        <f>SUM(F9:F28)</f>
        <v>3527.3659999999995</v>
      </c>
      <c r="G29" s="172">
        <f>SUM(G9:G28)</f>
        <v>6131.976</v>
      </c>
      <c r="H29" s="172">
        <f>SUM(H9:H28)</f>
        <v>9659.342</v>
      </c>
      <c r="I29" s="166"/>
      <c r="K29" s="154">
        <f t="shared" si="0"/>
        <v>3821.228</v>
      </c>
    </row>
    <row r="32" spans="1:9" ht="12.75">
      <c r="A32" s="195" t="s">
        <v>124</v>
      </c>
      <c r="C32" s="143">
        <v>15942</v>
      </c>
      <c r="D32" s="146"/>
      <c r="F32" s="195" t="s">
        <v>124</v>
      </c>
      <c r="G32" s="146"/>
      <c r="H32" s="143">
        <v>15942</v>
      </c>
      <c r="I32" s="143">
        <v>15942</v>
      </c>
    </row>
    <row r="33" spans="1:9" ht="12.75">
      <c r="A33" s="195" t="s">
        <v>4</v>
      </c>
      <c r="C33" s="143">
        <v>3000</v>
      </c>
      <c r="D33" s="146"/>
      <c r="F33" s="195" t="s">
        <v>4</v>
      </c>
      <c r="G33" s="146"/>
      <c r="H33" s="143">
        <v>3000</v>
      </c>
      <c r="I33" s="143">
        <v>3000</v>
      </c>
    </row>
    <row r="34" spans="1:9" ht="39.75" customHeight="1">
      <c r="A34" s="257" t="s">
        <v>125</v>
      </c>
      <c r="B34" s="257"/>
      <c r="C34" s="143">
        <v>1200</v>
      </c>
      <c r="D34" s="146"/>
      <c r="F34" s="142" t="s">
        <v>125</v>
      </c>
      <c r="G34" s="142"/>
      <c r="H34" s="143">
        <v>400</v>
      </c>
      <c r="I34" s="143">
        <v>1200</v>
      </c>
    </row>
    <row r="35" spans="1:9" ht="12.75">
      <c r="A35" s="195" t="s">
        <v>126</v>
      </c>
      <c r="C35" s="143">
        <v>300</v>
      </c>
      <c r="D35" s="146"/>
      <c r="F35" s="195" t="s">
        <v>126</v>
      </c>
      <c r="G35" s="146"/>
      <c r="H35" s="143">
        <v>150</v>
      </c>
      <c r="I35" s="143">
        <v>300</v>
      </c>
    </row>
    <row r="36" spans="1:9" ht="12.75">
      <c r="A36" s="251" t="s">
        <v>128</v>
      </c>
      <c r="B36" s="251"/>
      <c r="C36" s="143">
        <v>200</v>
      </c>
      <c r="D36" s="146"/>
      <c r="F36" s="195"/>
      <c r="G36" s="146"/>
      <c r="H36" s="143"/>
      <c r="I36" s="143"/>
    </row>
    <row r="37" spans="1:9" s="157" customFormat="1" ht="12.75">
      <c r="A37" s="196" t="s">
        <v>127</v>
      </c>
      <c r="B37" s="150"/>
      <c r="C37" s="197">
        <f>SUM(C32:C36)</f>
        <v>20642</v>
      </c>
      <c r="F37" s="196" t="s">
        <v>127</v>
      </c>
      <c r="H37" s="197">
        <f>SUM(H32:H35)</f>
        <v>19492</v>
      </c>
      <c r="I37" s="197">
        <f>SUM(I32:I35)</f>
        <v>20442</v>
      </c>
    </row>
  </sheetData>
  <sheetProtection/>
  <mergeCells count="6">
    <mergeCell ref="A36:B36"/>
    <mergeCell ref="A2:I2"/>
    <mergeCell ref="A3:I3"/>
    <mergeCell ref="A5:B5"/>
    <mergeCell ref="A29:B29"/>
    <mergeCell ref="A34:B34"/>
  </mergeCells>
  <printOptions/>
  <pageMargins left="0.62" right="0.18" top="0.42" bottom="0.75" header="0.3" footer="0.3"/>
  <pageSetup orientation="portrait" paperSize="9" scale="95" r:id="rId1"/>
  <headerFooter>
    <oddFooter>&amp;L&amp;8&amp;F&amp;A&amp;R&amp;8&amp;D&amp;T</oddFooter>
  </headerFooter>
</worksheet>
</file>

<file path=xl/worksheets/sheet10.xml><?xml version="1.0" encoding="utf-8"?>
<worksheet xmlns="http://schemas.openxmlformats.org/spreadsheetml/2006/main" xmlns:r="http://schemas.openxmlformats.org/officeDocument/2006/relationships">
  <sheetPr>
    <tabColor rgb="FF00B050"/>
  </sheetPr>
  <dimension ref="A1:J20"/>
  <sheetViews>
    <sheetView zoomScalePageLayoutView="0" workbookViewId="0" topLeftCell="A4">
      <selection activeCell="C6" sqref="C6:C11"/>
    </sheetView>
  </sheetViews>
  <sheetFormatPr defaultColWidth="9.140625" defaultRowHeight="15"/>
  <cols>
    <col min="1" max="1" width="4.7109375" style="3" customWidth="1"/>
    <col min="2" max="2" width="39.57421875" style="1" customWidth="1"/>
    <col min="3" max="3" width="6.7109375" style="1" customWidth="1"/>
    <col min="4" max="4" width="11.28125" style="16" customWidth="1"/>
    <col min="5" max="5" width="13.28125" style="16" customWidth="1"/>
    <col min="6" max="6" width="8.421875" style="36" customWidth="1"/>
    <col min="7" max="7" width="12.57421875" style="3" customWidth="1"/>
    <col min="8" max="8" width="13.00390625" style="3" customWidth="1"/>
    <col min="9" max="9" width="33.8515625" style="4" customWidth="1"/>
    <col min="10" max="16384" width="9.140625" style="4" customWidth="1"/>
  </cols>
  <sheetData>
    <row r="1" spans="9:10" ht="15">
      <c r="I1" s="15" t="s">
        <v>18</v>
      </c>
      <c r="J1" s="48" t="s">
        <v>74</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23</v>
      </c>
      <c r="I4" s="5" t="s">
        <v>7</v>
      </c>
    </row>
    <row r="5" spans="1:9" s="2" customFormat="1" ht="71.25">
      <c r="A5" s="10"/>
      <c r="B5" s="11" t="s">
        <v>0</v>
      </c>
      <c r="C5" s="10" t="s">
        <v>9</v>
      </c>
      <c r="D5" s="211" t="s">
        <v>144</v>
      </c>
      <c r="E5" s="17" t="s">
        <v>6</v>
      </c>
      <c r="F5" s="37" t="s">
        <v>1</v>
      </c>
      <c r="G5" s="17" t="s">
        <v>38</v>
      </c>
      <c r="H5" s="10" t="s">
        <v>39</v>
      </c>
      <c r="I5" s="10" t="s">
        <v>40</v>
      </c>
    </row>
    <row r="6" spans="1:9" ht="40.5" customHeight="1">
      <c r="A6" s="7">
        <v>1</v>
      </c>
      <c r="B6" s="8" t="s">
        <v>3</v>
      </c>
      <c r="C6" s="261" t="s">
        <v>10</v>
      </c>
      <c r="D6" s="18">
        <v>362</v>
      </c>
      <c r="E6" s="110">
        <f>161.02+78.95</f>
        <v>239.97000000000003</v>
      </c>
      <c r="F6" s="112">
        <v>0.44</v>
      </c>
      <c r="G6" s="210">
        <v>0</v>
      </c>
      <c r="H6" s="114">
        <f>+D6-G6-E6</f>
        <v>122.02999999999997</v>
      </c>
      <c r="I6" s="117" t="s">
        <v>96</v>
      </c>
    </row>
    <row r="7" spans="1:9" ht="66" customHeight="1">
      <c r="A7" s="7">
        <v>2</v>
      </c>
      <c r="B7" s="8" t="s">
        <v>4</v>
      </c>
      <c r="C7" s="262"/>
      <c r="D7" s="18">
        <v>150</v>
      </c>
      <c r="E7" s="110">
        <v>0</v>
      </c>
      <c r="F7" s="99">
        <v>0</v>
      </c>
      <c r="G7" s="210">
        <v>0</v>
      </c>
      <c r="H7" s="114">
        <f>+D7-G7-E7</f>
        <v>150</v>
      </c>
      <c r="I7" s="117" t="s">
        <v>147</v>
      </c>
    </row>
    <row r="8" spans="1:9" ht="24.75" customHeight="1">
      <c r="A8" s="7">
        <v>3</v>
      </c>
      <c r="B8" s="8" t="s">
        <v>13</v>
      </c>
      <c r="C8" s="262"/>
      <c r="D8" s="18">
        <v>0</v>
      </c>
      <c r="E8" s="110">
        <v>0</v>
      </c>
      <c r="F8" s="99">
        <v>0</v>
      </c>
      <c r="G8" s="210">
        <v>0</v>
      </c>
      <c r="H8" s="114">
        <f>+D8-G8-E8</f>
        <v>0</v>
      </c>
      <c r="I8" s="212"/>
    </row>
    <row r="9" spans="1:9" ht="24.75" customHeight="1">
      <c r="A9" s="7">
        <v>4</v>
      </c>
      <c r="B9" s="8" t="s">
        <v>14</v>
      </c>
      <c r="C9" s="263"/>
      <c r="D9" s="18"/>
      <c r="E9" s="110">
        <v>0</v>
      </c>
      <c r="F9" s="99">
        <v>0</v>
      </c>
      <c r="G9" s="210">
        <v>0</v>
      </c>
      <c r="H9" s="114">
        <f>+D9-G9-E9</f>
        <v>0</v>
      </c>
      <c r="I9" s="212"/>
    </row>
    <row r="10" spans="1:9" s="6" customFormat="1" ht="24.75" customHeight="1">
      <c r="A10" s="12"/>
      <c r="B10" s="11" t="s">
        <v>8</v>
      </c>
      <c r="C10" s="11"/>
      <c r="D10" s="19">
        <f>SUM(D6:D9)</f>
        <v>512</v>
      </c>
      <c r="E10" s="107">
        <f>SUM(E6:E9)</f>
        <v>239.97000000000003</v>
      </c>
      <c r="F10" s="46">
        <f>+E10/D10</f>
        <v>0.46869140625000005</v>
      </c>
      <c r="G10" s="107">
        <f>SUM(G6:G9)</f>
        <v>0</v>
      </c>
      <c r="H10" s="107">
        <f>SUM(H6:H9)</f>
        <v>272.03</v>
      </c>
      <c r="I10" s="213"/>
    </row>
    <row r="11" spans="1:9" ht="60.75" customHeight="1">
      <c r="A11" s="7">
        <v>5</v>
      </c>
      <c r="B11" s="109" t="s">
        <v>129</v>
      </c>
      <c r="C11" s="261">
        <v>3</v>
      </c>
      <c r="D11" s="18">
        <v>140</v>
      </c>
      <c r="E11" s="110">
        <f>62.56+24.05</f>
        <v>86.61</v>
      </c>
      <c r="F11" s="112">
        <v>0.45</v>
      </c>
      <c r="G11" s="105">
        <v>25.95</v>
      </c>
      <c r="H11" s="113">
        <f>+D11-E11-G11</f>
        <v>27.44</v>
      </c>
      <c r="I11" s="117" t="s">
        <v>80</v>
      </c>
    </row>
    <row r="12" spans="1:9" ht="24.75" customHeight="1">
      <c r="A12" s="7">
        <v>6</v>
      </c>
      <c r="B12" s="8" t="s">
        <v>11</v>
      </c>
      <c r="C12" s="262"/>
      <c r="D12" s="18">
        <v>65</v>
      </c>
      <c r="E12" s="110">
        <v>47.37</v>
      </c>
      <c r="F12" s="112">
        <v>0.73</v>
      </c>
      <c r="G12" s="105">
        <v>12</v>
      </c>
      <c r="H12" s="113">
        <f>+D12-E12-G12</f>
        <v>5.630000000000003</v>
      </c>
      <c r="I12" s="212"/>
    </row>
    <row r="13" spans="1:9" ht="33.75" customHeight="1">
      <c r="A13" s="7">
        <v>7</v>
      </c>
      <c r="B13" s="8" t="s">
        <v>12</v>
      </c>
      <c r="C13" s="263"/>
      <c r="D13" s="18">
        <v>70</v>
      </c>
      <c r="E13" s="110">
        <v>32.064</v>
      </c>
      <c r="F13" s="112">
        <v>0.46</v>
      </c>
      <c r="G13" s="105">
        <v>2</v>
      </c>
      <c r="H13" s="113">
        <f>+D13-E13-G13</f>
        <v>35.936</v>
      </c>
      <c r="I13" s="117" t="s">
        <v>148</v>
      </c>
    </row>
    <row r="14" spans="1:9" s="6" customFormat="1" ht="24.75" customHeight="1">
      <c r="A14" s="12"/>
      <c r="B14" s="11" t="s">
        <v>8</v>
      </c>
      <c r="C14" s="11"/>
      <c r="D14" s="19">
        <f>SUM(D11:D13)</f>
        <v>275</v>
      </c>
      <c r="E14" s="107">
        <f>SUM(E11:E13)</f>
        <v>166.04399999999998</v>
      </c>
      <c r="F14" s="46">
        <f>+E14/D14</f>
        <v>0.6037963636363636</v>
      </c>
      <c r="G14" s="107">
        <f>SUM(G11:G13)</f>
        <v>39.95</v>
      </c>
      <c r="H14" s="107">
        <f>SUM(H11:H13)</f>
        <v>69.006</v>
      </c>
      <c r="I14" s="13"/>
    </row>
    <row r="15" spans="1:9" ht="24.75" customHeight="1">
      <c r="A15" s="7"/>
      <c r="B15" s="8"/>
      <c r="C15" s="8"/>
      <c r="D15" s="18"/>
      <c r="E15" s="106"/>
      <c r="F15" s="112"/>
      <c r="G15" s="106"/>
      <c r="H15" s="106"/>
      <c r="I15" s="9"/>
    </row>
    <row r="16" spans="1:9" s="6" customFormat="1" ht="24.75" customHeight="1">
      <c r="A16" s="12"/>
      <c r="B16" s="11" t="s">
        <v>5</v>
      </c>
      <c r="C16" s="11"/>
      <c r="D16" s="19">
        <f>+D14+D10</f>
        <v>787</v>
      </c>
      <c r="E16" s="107">
        <f>+E14+E10</f>
        <v>406.014</v>
      </c>
      <c r="F16" s="46">
        <f>+E16/D16</f>
        <v>0.5159008894536213</v>
      </c>
      <c r="G16" s="107">
        <f>+G14+G10</f>
        <v>39.95</v>
      </c>
      <c r="H16" s="107">
        <f>+H14+H10</f>
        <v>341.03599999999994</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&amp;L&amp;9&amp;F&amp;A&amp;CPage &amp;P&amp;R&amp;8&amp;D&amp;T</oddFooter>
  </headerFooter>
</worksheet>
</file>

<file path=xl/worksheets/sheet11.xml><?xml version="1.0" encoding="utf-8"?>
<worksheet xmlns="http://schemas.openxmlformats.org/spreadsheetml/2006/main" xmlns:r="http://schemas.openxmlformats.org/officeDocument/2006/relationships">
  <sheetPr>
    <tabColor rgb="FF00B050"/>
  </sheetPr>
  <dimension ref="A1:I22"/>
  <sheetViews>
    <sheetView zoomScalePageLayoutView="0" workbookViewId="0" topLeftCell="A8">
      <selection activeCell="C6" sqref="C6:C11"/>
    </sheetView>
  </sheetViews>
  <sheetFormatPr defaultColWidth="9.140625" defaultRowHeight="15"/>
  <cols>
    <col min="1" max="1" width="4.7109375" style="3" customWidth="1"/>
    <col min="2" max="2" width="24.8515625" style="1" customWidth="1"/>
    <col min="3" max="3" width="6.7109375" style="1" customWidth="1"/>
    <col min="4" max="4" width="10.57421875" style="16" customWidth="1"/>
    <col min="5" max="5" width="11.8515625" style="16" customWidth="1"/>
    <col min="6" max="6" width="7.421875" style="36" customWidth="1"/>
    <col min="7" max="7" width="12.140625" style="3" customWidth="1"/>
    <col min="8" max="8" width="12.7109375" style="3" customWidth="1"/>
    <col min="9" max="9" width="55.140625" style="4" customWidth="1"/>
    <col min="10" max="16384" width="9.140625" style="4" customWidth="1"/>
  </cols>
  <sheetData>
    <row r="1" ht="15">
      <c r="I1" s="15" t="s">
        <v>18</v>
      </c>
    </row>
    <row r="2" spans="1:9" ht="15.75" customHeight="1">
      <c r="A2" s="260" t="s">
        <v>16</v>
      </c>
      <c r="B2" s="260"/>
      <c r="C2" s="260"/>
      <c r="D2" s="260"/>
      <c r="E2" s="260"/>
      <c r="F2" s="260"/>
      <c r="G2" s="260"/>
      <c r="H2" s="260"/>
      <c r="I2" s="260"/>
    </row>
    <row r="3" spans="1:9" ht="15.75" customHeight="1">
      <c r="A3" s="260" t="s">
        <v>17</v>
      </c>
      <c r="B3" s="260"/>
      <c r="C3" s="260"/>
      <c r="D3" s="260"/>
      <c r="E3" s="260"/>
      <c r="F3" s="260"/>
      <c r="G3" s="260"/>
      <c r="H3" s="260"/>
      <c r="I3" s="260"/>
    </row>
    <row r="4" spans="1:9" ht="15">
      <c r="A4" s="14" t="s">
        <v>90</v>
      </c>
      <c r="I4" s="5" t="s">
        <v>7</v>
      </c>
    </row>
    <row r="5" spans="1:9" s="2" customFormat="1" ht="76.5">
      <c r="A5" s="10"/>
      <c r="B5" s="11" t="s">
        <v>0</v>
      </c>
      <c r="C5" s="10" t="s">
        <v>9</v>
      </c>
      <c r="D5" s="211" t="s">
        <v>144</v>
      </c>
      <c r="E5" s="17" t="s">
        <v>89</v>
      </c>
      <c r="F5" s="37" t="s">
        <v>1</v>
      </c>
      <c r="G5" s="17" t="s">
        <v>38</v>
      </c>
      <c r="H5" s="10" t="s">
        <v>39</v>
      </c>
      <c r="I5" s="10" t="s">
        <v>40</v>
      </c>
    </row>
    <row r="6" spans="1:9" ht="27" customHeight="1">
      <c r="A6" s="7">
        <v>1</v>
      </c>
      <c r="B6" s="8" t="s">
        <v>3</v>
      </c>
      <c r="C6" s="261" t="s">
        <v>10</v>
      </c>
      <c r="D6" s="18">
        <v>631</v>
      </c>
      <c r="E6" s="110">
        <v>464</v>
      </c>
      <c r="F6" s="112">
        <f>+E6/D6</f>
        <v>0.7353407290015848</v>
      </c>
      <c r="G6" s="113">
        <v>113</v>
      </c>
      <c r="H6" s="113">
        <v>240</v>
      </c>
      <c r="I6" s="122"/>
    </row>
    <row r="7" spans="1:9" ht="120" customHeight="1">
      <c r="A7" s="7">
        <v>2</v>
      </c>
      <c r="B7" s="8" t="s">
        <v>4</v>
      </c>
      <c r="C7" s="262"/>
      <c r="D7" s="18">
        <v>775</v>
      </c>
      <c r="E7" s="110">
        <f>13+100-25</f>
        <v>88</v>
      </c>
      <c r="F7" s="112">
        <f>+E7/D7</f>
        <v>0.1135483870967742</v>
      </c>
      <c r="G7" s="113">
        <v>36</v>
      </c>
      <c r="H7" s="113">
        <v>705</v>
      </c>
      <c r="I7" s="123" t="s">
        <v>88</v>
      </c>
    </row>
    <row r="8" spans="1:9" ht="45">
      <c r="A8" s="7">
        <v>3</v>
      </c>
      <c r="B8" s="8" t="s">
        <v>13</v>
      </c>
      <c r="C8" s="262"/>
      <c r="D8" s="18">
        <v>600</v>
      </c>
      <c r="E8" s="110">
        <v>13</v>
      </c>
      <c r="F8" s="112">
        <f aca="true" t="shared" si="0" ref="F8:F15">+E8/D8</f>
        <v>0.021666666666666667</v>
      </c>
      <c r="G8" s="113">
        <v>25</v>
      </c>
      <c r="H8" s="113">
        <v>175</v>
      </c>
      <c r="I8" s="123" t="s">
        <v>163</v>
      </c>
    </row>
    <row r="9" spans="1:9" ht="19.5" customHeight="1">
      <c r="A9" s="7">
        <v>4</v>
      </c>
      <c r="B9" s="8" t="s">
        <v>14</v>
      </c>
      <c r="C9" s="263"/>
      <c r="D9" s="18">
        <v>0</v>
      </c>
      <c r="E9" s="110"/>
      <c r="F9" s="112"/>
      <c r="G9" s="113"/>
      <c r="H9" s="113"/>
      <c r="I9" s="9"/>
    </row>
    <row r="10" spans="1:9" s="6" customFormat="1" ht="24.75" customHeight="1">
      <c r="A10" s="12"/>
      <c r="B10" s="11" t="s">
        <v>8</v>
      </c>
      <c r="C10" s="11"/>
      <c r="D10" s="19">
        <f>SUM(D6:D9)</f>
        <v>2006</v>
      </c>
      <c r="E10" s="111">
        <f>SUM(E6:E9)</f>
        <v>565</v>
      </c>
      <c r="F10" s="120">
        <f>+E10/D10</f>
        <v>0.28165503489531407</v>
      </c>
      <c r="G10" s="111">
        <f>SUM(G6:G9)</f>
        <v>174</v>
      </c>
      <c r="H10" s="111">
        <f>SUM(H6:H9)</f>
        <v>1120</v>
      </c>
      <c r="I10" s="13"/>
    </row>
    <row r="11" spans="1:9" ht="24.75" customHeight="1">
      <c r="A11" s="7">
        <v>5</v>
      </c>
      <c r="B11" s="109" t="s">
        <v>129</v>
      </c>
      <c r="C11" s="261">
        <v>3</v>
      </c>
      <c r="D11" s="127">
        <v>150</v>
      </c>
      <c r="E11" s="127">
        <f>79-25+25</f>
        <v>79</v>
      </c>
      <c r="F11" s="128">
        <f t="shared" si="0"/>
        <v>0.5266666666666666</v>
      </c>
      <c r="G11" s="129">
        <v>22</v>
      </c>
      <c r="H11" s="129">
        <v>68</v>
      </c>
      <c r="I11" s="124" t="s">
        <v>149</v>
      </c>
    </row>
    <row r="12" spans="1:9" ht="24.75" customHeight="1">
      <c r="A12" s="7">
        <v>6</v>
      </c>
      <c r="B12" s="125" t="s">
        <v>11</v>
      </c>
      <c r="C12" s="262"/>
      <c r="D12" s="110">
        <v>170</v>
      </c>
      <c r="E12" s="110">
        <f>144-75</f>
        <v>69</v>
      </c>
      <c r="F12" s="112">
        <f t="shared" si="0"/>
        <v>0.40588235294117647</v>
      </c>
      <c r="G12" s="113">
        <v>26</v>
      </c>
      <c r="H12" s="113">
        <v>95</v>
      </c>
      <c r="I12" s="126" t="s">
        <v>149</v>
      </c>
    </row>
    <row r="13" spans="1:9" s="83" customFormat="1" ht="45.75" customHeight="1">
      <c r="A13" s="108">
        <v>7</v>
      </c>
      <c r="B13" s="125" t="s">
        <v>93</v>
      </c>
      <c r="C13" s="262"/>
      <c r="D13" s="132">
        <v>20</v>
      </c>
      <c r="E13" s="132">
        <v>1.6</v>
      </c>
      <c r="F13" s="116">
        <f t="shared" si="0"/>
        <v>0.08</v>
      </c>
      <c r="G13" s="135">
        <v>1.32</v>
      </c>
      <c r="H13" s="132">
        <v>3</v>
      </c>
      <c r="I13" s="265" t="s">
        <v>162</v>
      </c>
    </row>
    <row r="14" spans="1:9" s="83" customFormat="1" ht="46.5" customHeight="1">
      <c r="A14" s="108"/>
      <c r="B14" s="125" t="s">
        <v>94</v>
      </c>
      <c r="C14" s="96"/>
      <c r="D14" s="132">
        <v>200</v>
      </c>
      <c r="E14" s="132">
        <v>56.29</v>
      </c>
      <c r="F14" s="116">
        <f t="shared" si="0"/>
        <v>0.28145</v>
      </c>
      <c r="G14" s="135">
        <v>18.823</v>
      </c>
      <c r="H14" s="132">
        <v>46.2</v>
      </c>
      <c r="I14" s="265"/>
    </row>
    <row r="15" spans="1:9" s="83" customFormat="1" ht="25.5" customHeight="1">
      <c r="A15" s="108"/>
      <c r="B15" s="125" t="s">
        <v>95</v>
      </c>
      <c r="C15" s="97"/>
      <c r="D15" s="133">
        <v>75</v>
      </c>
      <c r="E15" s="134">
        <v>45.78</v>
      </c>
      <c r="F15" s="116">
        <f t="shared" si="0"/>
        <v>0.6104</v>
      </c>
      <c r="G15" s="136">
        <v>4.45</v>
      </c>
      <c r="H15" s="132">
        <v>24.92</v>
      </c>
      <c r="I15" s="122" t="s">
        <v>149</v>
      </c>
    </row>
    <row r="16" spans="1:9" s="6" customFormat="1" ht="24.75" customHeight="1">
      <c r="A16" s="12"/>
      <c r="B16" s="11" t="s">
        <v>8</v>
      </c>
      <c r="C16" s="11"/>
      <c r="D16" s="111">
        <f>SUM(D11:D15)</f>
        <v>615</v>
      </c>
      <c r="E16" s="111">
        <f>SUM(E11:E15)</f>
        <v>251.67</v>
      </c>
      <c r="F16" s="120">
        <f>+E16/D16</f>
        <v>0.4092195121951219</v>
      </c>
      <c r="G16" s="111">
        <f>SUM(G11:G15)</f>
        <v>72.593</v>
      </c>
      <c r="H16" s="111">
        <f>SUM(H11:H15)</f>
        <v>237.12</v>
      </c>
      <c r="I16" s="13"/>
    </row>
    <row r="17" spans="1:9" ht="12" customHeight="1">
      <c r="A17" s="7"/>
      <c r="B17" s="8"/>
      <c r="C17" s="8"/>
      <c r="D17" s="18"/>
      <c r="E17" s="110"/>
      <c r="F17" s="112"/>
      <c r="G17" s="113"/>
      <c r="H17" s="113"/>
      <c r="I17" s="9"/>
    </row>
    <row r="18" spans="1:9" s="6" customFormat="1" ht="24.75" customHeight="1">
      <c r="A18" s="12"/>
      <c r="B18" s="11" t="s">
        <v>5</v>
      </c>
      <c r="C18" s="11"/>
      <c r="D18" s="19">
        <f>+D16+D10</f>
        <v>2621</v>
      </c>
      <c r="E18" s="111">
        <f>+E16+E10</f>
        <v>816.67</v>
      </c>
      <c r="F18" s="120">
        <f>+E18/D18</f>
        <v>0.3115871804654712</v>
      </c>
      <c r="G18" s="111">
        <f>+G16+G10</f>
        <v>246.59300000000002</v>
      </c>
      <c r="H18" s="111">
        <f>+H16+H10</f>
        <v>1357.12</v>
      </c>
      <c r="I18" s="13"/>
    </row>
    <row r="19" ht="15">
      <c r="B19" s="1" t="s">
        <v>15</v>
      </c>
    </row>
    <row r="21" ht="15">
      <c r="I21" s="4" t="s">
        <v>19</v>
      </c>
    </row>
    <row r="22" ht="15">
      <c r="I22" s="4" t="s">
        <v>20</v>
      </c>
    </row>
  </sheetData>
  <sheetProtection/>
  <mergeCells count="5">
    <mergeCell ref="A2:I2"/>
    <mergeCell ref="A3:I3"/>
    <mergeCell ref="C6:C9"/>
    <mergeCell ref="C11:C13"/>
    <mergeCell ref="I13:I14"/>
  </mergeCells>
  <printOptions/>
  <pageMargins left="0.62" right="0.25" top="0.33" bottom="0.43" header="0.3" footer="0.3"/>
  <pageSetup horizontalDpi="600" verticalDpi="600" orientation="landscape" paperSize="9" scale="90" r:id="rId1"/>
  <headerFooter>
    <oddFooter>&amp;L&amp;8&amp;F&amp;A&amp;CPage &amp;P&amp;R&amp;8&amp;D&amp;T</oddFooter>
  </headerFooter>
</worksheet>
</file>

<file path=xl/worksheets/sheet12.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4">
      <selection activeCell="C6" sqref="C6:C11"/>
    </sheetView>
  </sheetViews>
  <sheetFormatPr defaultColWidth="9.140625" defaultRowHeight="15"/>
  <cols>
    <col min="1" max="1" width="4.7109375" style="3" customWidth="1"/>
    <col min="2" max="2" width="39.8515625" style="1" customWidth="1"/>
    <col min="3" max="3" width="6.7109375" style="1" customWidth="1"/>
    <col min="4" max="4" width="10.57421875" style="16" customWidth="1"/>
    <col min="5" max="5" width="12.7109375" style="16" customWidth="1"/>
    <col min="6" max="6" width="9.140625" style="36" customWidth="1"/>
    <col min="7" max="7" width="12.57421875" style="3" customWidth="1"/>
    <col min="8" max="8" width="13.00390625" style="3" customWidth="1"/>
    <col min="9" max="9" width="33.42187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24</v>
      </c>
      <c r="I4" s="5" t="s">
        <v>7</v>
      </c>
    </row>
    <row r="5" spans="1:9" s="2" customFormat="1" ht="76.5">
      <c r="A5" s="10"/>
      <c r="B5" s="11" t="s">
        <v>0</v>
      </c>
      <c r="C5" s="10" t="s">
        <v>9</v>
      </c>
      <c r="D5" s="211" t="s">
        <v>144</v>
      </c>
      <c r="E5" s="17" t="s">
        <v>6</v>
      </c>
      <c r="F5" s="37" t="s">
        <v>1</v>
      </c>
      <c r="G5" s="17" t="s">
        <v>38</v>
      </c>
      <c r="H5" s="10" t="s">
        <v>39</v>
      </c>
      <c r="I5" s="10" t="s">
        <v>40</v>
      </c>
    </row>
    <row r="6" spans="1:9" ht="48" customHeight="1">
      <c r="A6" s="7">
        <v>1</v>
      </c>
      <c r="B6" s="8" t="s">
        <v>3</v>
      </c>
      <c r="C6" s="261" t="s">
        <v>10</v>
      </c>
      <c r="D6" s="18">
        <v>450</v>
      </c>
      <c r="E6" s="18">
        <v>93.96</v>
      </c>
      <c r="F6" s="112">
        <f>+E6/D6</f>
        <v>0.20879999999999999</v>
      </c>
      <c r="G6" s="113">
        <v>71.49</v>
      </c>
      <c r="H6" s="113">
        <v>143</v>
      </c>
      <c r="I6" s="117" t="s">
        <v>150</v>
      </c>
    </row>
    <row r="7" spans="1:9" ht="93" customHeight="1">
      <c r="A7" s="7">
        <v>2</v>
      </c>
      <c r="B7" s="8" t="s">
        <v>4</v>
      </c>
      <c r="C7" s="262"/>
      <c r="D7" s="18">
        <v>220</v>
      </c>
      <c r="E7" s="18">
        <v>4.76</v>
      </c>
      <c r="F7" s="112">
        <f>+E7/D7</f>
        <v>0.021636363636363634</v>
      </c>
      <c r="G7" s="113">
        <v>9.91</v>
      </c>
      <c r="H7" s="113">
        <v>70</v>
      </c>
      <c r="I7" s="117" t="s">
        <v>151</v>
      </c>
    </row>
    <row r="8" spans="1:9" ht="24.75" customHeight="1">
      <c r="A8" s="7">
        <v>3</v>
      </c>
      <c r="B8" s="8" t="s">
        <v>13</v>
      </c>
      <c r="C8" s="262"/>
      <c r="D8" s="18">
        <v>0</v>
      </c>
      <c r="E8" s="18"/>
      <c r="F8" s="112"/>
      <c r="G8" s="113"/>
      <c r="H8" s="113"/>
      <c r="I8" s="212"/>
    </row>
    <row r="9" spans="1:9" ht="24.75" customHeight="1">
      <c r="A9" s="7">
        <v>4</v>
      </c>
      <c r="B9" s="8" t="s">
        <v>14</v>
      </c>
      <c r="C9" s="263"/>
      <c r="D9" s="18">
        <v>0</v>
      </c>
      <c r="E9" s="18"/>
      <c r="F9" s="112"/>
      <c r="G9" s="113"/>
      <c r="H9" s="113"/>
      <c r="I9" s="212"/>
    </row>
    <row r="10" spans="1:9" s="6" customFormat="1" ht="24.75" customHeight="1">
      <c r="A10" s="12"/>
      <c r="B10" s="11" t="s">
        <v>8</v>
      </c>
      <c r="C10" s="11"/>
      <c r="D10" s="19">
        <f>SUM(D6:D9)</f>
        <v>670</v>
      </c>
      <c r="E10" s="19">
        <f>SUM(E6:E9)</f>
        <v>98.72</v>
      </c>
      <c r="F10" s="100">
        <f>+E10/D10</f>
        <v>0.14734328358208956</v>
      </c>
      <c r="G10" s="111">
        <f>SUM(G6:G9)</f>
        <v>81.39999999999999</v>
      </c>
      <c r="H10" s="111">
        <f>SUM(H6:H9)</f>
        <v>213</v>
      </c>
      <c r="I10" s="213"/>
    </row>
    <row r="11" spans="1:9" ht="24.75" customHeight="1">
      <c r="A11" s="7">
        <v>5</v>
      </c>
      <c r="B11" s="109" t="s">
        <v>129</v>
      </c>
      <c r="C11" s="261">
        <v>3</v>
      </c>
      <c r="D11" s="18">
        <v>195.92</v>
      </c>
      <c r="E11" s="18">
        <v>75.86</v>
      </c>
      <c r="F11" s="112">
        <f>+E11/D11</f>
        <v>0.3871988566761944</v>
      </c>
      <c r="G11" s="113">
        <v>50.55</v>
      </c>
      <c r="H11" s="113">
        <v>43.34</v>
      </c>
      <c r="I11" s="266" t="s">
        <v>167</v>
      </c>
    </row>
    <row r="12" spans="1:9" ht="24.75" customHeight="1">
      <c r="A12" s="7">
        <v>6</v>
      </c>
      <c r="B12" s="8" t="s">
        <v>11</v>
      </c>
      <c r="C12" s="262"/>
      <c r="D12" s="18">
        <v>280.08</v>
      </c>
      <c r="E12" s="18">
        <v>108.23</v>
      </c>
      <c r="F12" s="112">
        <f>+E12/D12</f>
        <v>0.3864253070551271</v>
      </c>
      <c r="G12" s="113">
        <v>68.65</v>
      </c>
      <c r="H12" s="113">
        <v>68.45</v>
      </c>
      <c r="I12" s="265"/>
    </row>
    <row r="13" spans="1:9" ht="24.75" customHeight="1">
      <c r="A13" s="7">
        <v>7</v>
      </c>
      <c r="B13" s="8" t="s">
        <v>12</v>
      </c>
      <c r="C13" s="263"/>
      <c r="D13" s="18">
        <v>105</v>
      </c>
      <c r="E13" s="18">
        <v>19.63</v>
      </c>
      <c r="F13" s="112">
        <f>+E13/D13</f>
        <v>0.18695238095238095</v>
      </c>
      <c r="G13" s="113">
        <v>0</v>
      </c>
      <c r="H13" s="113">
        <v>27.25</v>
      </c>
      <c r="I13" s="267"/>
    </row>
    <row r="14" spans="1:9" s="6" customFormat="1" ht="24.75" customHeight="1">
      <c r="A14" s="12"/>
      <c r="B14" s="11" t="s">
        <v>8</v>
      </c>
      <c r="C14" s="11"/>
      <c r="D14" s="19">
        <f>SUM(D11:D13)</f>
        <v>581</v>
      </c>
      <c r="E14" s="111">
        <f>SUM(E11:E13)</f>
        <v>203.72</v>
      </c>
      <c r="F14" s="100">
        <f>+E14/D14</f>
        <v>0.3506368330464716</v>
      </c>
      <c r="G14" s="111">
        <f>SUM(G11:G13)</f>
        <v>119.2</v>
      </c>
      <c r="H14" s="111">
        <f>SUM(H11:H13)</f>
        <v>139.04000000000002</v>
      </c>
      <c r="I14" s="13"/>
    </row>
    <row r="15" spans="1:9" ht="24.75" customHeight="1">
      <c r="A15" s="7"/>
      <c r="B15" s="8"/>
      <c r="C15" s="8"/>
      <c r="D15" s="18"/>
      <c r="E15" s="18"/>
      <c r="F15" s="112"/>
      <c r="G15" s="113"/>
      <c r="H15" s="113"/>
      <c r="I15" s="9"/>
    </row>
    <row r="16" spans="1:9" s="6" customFormat="1" ht="24.75" customHeight="1">
      <c r="A16" s="12"/>
      <c r="B16" s="11" t="s">
        <v>5</v>
      </c>
      <c r="C16" s="11"/>
      <c r="D16" s="19">
        <f>+D14+D10</f>
        <v>1251</v>
      </c>
      <c r="E16" s="111">
        <f>+E14+E10</f>
        <v>302.44</v>
      </c>
      <c r="F16" s="100">
        <f>+E16/D16</f>
        <v>0.2417585931254996</v>
      </c>
      <c r="G16" s="111">
        <f>+G14+G10</f>
        <v>200.6</v>
      </c>
      <c r="H16" s="111">
        <f>+H14+H10</f>
        <v>352.04</v>
      </c>
      <c r="I16" s="13"/>
    </row>
    <row r="17" ht="15">
      <c r="B17" s="1" t="s">
        <v>15</v>
      </c>
    </row>
    <row r="19" ht="15">
      <c r="I19" s="4" t="s">
        <v>19</v>
      </c>
    </row>
    <row r="20" ht="15">
      <c r="I20" s="4" t="s">
        <v>20</v>
      </c>
    </row>
  </sheetData>
  <sheetProtection/>
  <mergeCells count="5">
    <mergeCell ref="A2:I2"/>
    <mergeCell ref="A3:I3"/>
    <mergeCell ref="C6:C9"/>
    <mergeCell ref="C11:C13"/>
    <mergeCell ref="I11:I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13.xml><?xml version="1.0" encoding="utf-8"?>
<worksheet xmlns="http://schemas.openxmlformats.org/spreadsheetml/2006/main" xmlns:r="http://schemas.openxmlformats.org/officeDocument/2006/relationships">
  <sheetPr>
    <tabColor rgb="FF00B050"/>
  </sheetPr>
  <dimension ref="A1:J20"/>
  <sheetViews>
    <sheetView zoomScalePageLayoutView="0" workbookViewId="0" topLeftCell="A1">
      <selection activeCell="C6" sqref="C6:C11"/>
    </sheetView>
  </sheetViews>
  <sheetFormatPr defaultColWidth="9.140625" defaultRowHeight="15"/>
  <cols>
    <col min="1" max="1" width="4.7109375" style="3" customWidth="1"/>
    <col min="2" max="2" width="39.421875" style="1" customWidth="1"/>
    <col min="3" max="3" width="6.7109375" style="1" customWidth="1"/>
    <col min="4" max="4" width="10.57421875" style="16" customWidth="1"/>
    <col min="5" max="5" width="13.28125" style="16" customWidth="1"/>
    <col min="6" max="6" width="9.140625" style="36" customWidth="1"/>
    <col min="7" max="7" width="12.57421875" style="3" customWidth="1"/>
    <col min="8" max="8" width="13.00390625" style="3" customWidth="1"/>
    <col min="9" max="9" width="35.7109375" style="4" customWidth="1"/>
    <col min="10" max="16384" width="9.140625" style="4" customWidth="1"/>
  </cols>
  <sheetData>
    <row r="1" spans="9:10" ht="15">
      <c r="I1" s="15" t="s">
        <v>18</v>
      </c>
      <c r="J1" s="49" t="s">
        <v>71</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25</v>
      </c>
      <c r="I4" s="5" t="s">
        <v>7</v>
      </c>
    </row>
    <row r="5" spans="1:9" s="2" customFormat="1" ht="76.5">
      <c r="A5" s="10"/>
      <c r="B5" s="11" t="s">
        <v>0</v>
      </c>
      <c r="C5" s="10" t="s">
        <v>9</v>
      </c>
      <c r="D5" s="211" t="s">
        <v>144</v>
      </c>
      <c r="E5" s="17" t="s">
        <v>6</v>
      </c>
      <c r="F5" s="37" t="s">
        <v>1</v>
      </c>
      <c r="G5" s="17" t="s">
        <v>38</v>
      </c>
      <c r="H5" s="10" t="s">
        <v>39</v>
      </c>
      <c r="I5" s="10" t="s">
        <v>40</v>
      </c>
    </row>
    <row r="6" spans="1:9" ht="50.25" customHeight="1">
      <c r="A6" s="7">
        <v>1</v>
      </c>
      <c r="B6" s="8" t="s">
        <v>3</v>
      </c>
      <c r="C6" s="261" t="s">
        <v>10</v>
      </c>
      <c r="D6" s="18">
        <f>563+3</f>
        <v>566</v>
      </c>
      <c r="E6" s="18">
        <v>285.45</v>
      </c>
      <c r="F6" s="45">
        <f>+E6/D6</f>
        <v>0.5043286219081272</v>
      </c>
      <c r="G6" s="47">
        <v>26</v>
      </c>
      <c r="H6" s="47">
        <v>149</v>
      </c>
      <c r="I6" s="117" t="s">
        <v>73</v>
      </c>
    </row>
    <row r="7" spans="1:9" ht="24.75" customHeight="1">
      <c r="A7" s="7">
        <v>2</v>
      </c>
      <c r="B7" s="8" t="s">
        <v>4</v>
      </c>
      <c r="C7" s="262"/>
      <c r="D7" s="18">
        <v>0</v>
      </c>
      <c r="E7" s="18"/>
      <c r="F7" s="45"/>
      <c r="G7" s="47"/>
      <c r="H7" s="47"/>
      <c r="I7" s="212"/>
    </row>
    <row r="8" spans="1:9" ht="24.75" customHeight="1">
      <c r="A8" s="7">
        <v>3</v>
      </c>
      <c r="B8" s="8" t="s">
        <v>13</v>
      </c>
      <c r="C8" s="262"/>
      <c r="D8" s="18">
        <v>0</v>
      </c>
      <c r="E8" s="18"/>
      <c r="F8" s="45"/>
      <c r="G8" s="47"/>
      <c r="H8" s="47"/>
      <c r="I8" s="212"/>
    </row>
    <row r="9" spans="1:9" ht="24.75" customHeight="1">
      <c r="A9" s="7">
        <v>4</v>
      </c>
      <c r="B9" s="8" t="s">
        <v>14</v>
      </c>
      <c r="C9" s="263"/>
      <c r="D9" s="18">
        <v>0</v>
      </c>
      <c r="E9" s="18"/>
      <c r="F9" s="45"/>
      <c r="G9" s="47"/>
      <c r="H9" s="47"/>
      <c r="I9" s="212"/>
    </row>
    <row r="10" spans="1:9" s="6" customFormat="1" ht="24.75" customHeight="1">
      <c r="A10" s="12"/>
      <c r="B10" s="11" t="s">
        <v>8</v>
      </c>
      <c r="C10" s="11"/>
      <c r="D10" s="19">
        <f>SUM(D6:D9)</f>
        <v>566</v>
      </c>
      <c r="E10" s="19">
        <f>SUM(E6:E9)</f>
        <v>285.45</v>
      </c>
      <c r="F10" s="46">
        <f>+E10/D10</f>
        <v>0.5043286219081272</v>
      </c>
      <c r="G10" s="68">
        <f>SUM(G6:G9)</f>
        <v>26</v>
      </c>
      <c r="H10" s="68">
        <f>SUM(H6:H9)</f>
        <v>149</v>
      </c>
      <c r="I10" s="213"/>
    </row>
    <row r="11" spans="1:9" ht="24.75" customHeight="1">
      <c r="A11" s="7">
        <v>5</v>
      </c>
      <c r="B11" s="109" t="s">
        <v>129</v>
      </c>
      <c r="C11" s="261">
        <v>3</v>
      </c>
      <c r="D11" s="18">
        <v>75</v>
      </c>
      <c r="E11" s="18">
        <v>61.74</v>
      </c>
      <c r="F11" s="45">
        <f>+E11/D11</f>
        <v>0.8232</v>
      </c>
      <c r="G11" s="67">
        <v>4</v>
      </c>
      <c r="H11" s="67">
        <v>9.26</v>
      </c>
      <c r="I11" s="212"/>
    </row>
    <row r="12" spans="1:9" ht="24.75" customHeight="1">
      <c r="A12" s="7">
        <v>6</v>
      </c>
      <c r="B12" s="8" t="s">
        <v>11</v>
      </c>
      <c r="C12" s="262"/>
      <c r="D12" s="18">
        <f>824-3</f>
        <v>821</v>
      </c>
      <c r="E12" s="18">
        <v>449.4</v>
      </c>
      <c r="F12" s="45">
        <f>+E12/D12</f>
        <v>0.5473812423873325</v>
      </c>
      <c r="G12" s="67">
        <v>271</v>
      </c>
      <c r="H12" s="67">
        <v>100.6</v>
      </c>
      <c r="I12" s="212"/>
    </row>
    <row r="13" spans="1:9" ht="72" customHeight="1">
      <c r="A13" s="7">
        <v>7</v>
      </c>
      <c r="B13" s="8" t="s">
        <v>12</v>
      </c>
      <c r="C13" s="263"/>
      <c r="D13" s="18">
        <v>83</v>
      </c>
      <c r="E13" s="18">
        <v>19.44</v>
      </c>
      <c r="F13" s="45">
        <f>+E13/D13</f>
        <v>0.23421686746987955</v>
      </c>
      <c r="G13" s="67">
        <v>12</v>
      </c>
      <c r="H13" s="67">
        <v>51.56</v>
      </c>
      <c r="I13" s="117" t="s">
        <v>83</v>
      </c>
    </row>
    <row r="14" spans="1:9" s="6" customFormat="1" ht="24.75" customHeight="1">
      <c r="A14" s="12"/>
      <c r="B14" s="11" t="s">
        <v>8</v>
      </c>
      <c r="C14" s="11"/>
      <c r="D14" s="19">
        <f>SUM(D11:D13)</f>
        <v>979</v>
      </c>
      <c r="E14" s="19">
        <f>SUM(E11:E13)</f>
        <v>530.58</v>
      </c>
      <c r="F14" s="46">
        <f>+E14/D14</f>
        <v>0.5419611848825332</v>
      </c>
      <c r="G14" s="68">
        <f>SUM(G11:G13)</f>
        <v>287</v>
      </c>
      <c r="H14" s="68">
        <f>SUM(H11:H13)</f>
        <v>161.42000000000002</v>
      </c>
      <c r="I14" s="13"/>
    </row>
    <row r="15" spans="1:9" ht="24.75" customHeight="1">
      <c r="A15" s="7"/>
      <c r="B15" s="8"/>
      <c r="C15" s="8"/>
      <c r="D15" s="18"/>
      <c r="E15" s="18"/>
      <c r="F15" s="45"/>
      <c r="G15" s="67"/>
      <c r="H15" s="67"/>
      <c r="I15" s="9"/>
    </row>
    <row r="16" spans="1:9" s="6" customFormat="1" ht="24.75" customHeight="1">
      <c r="A16" s="12"/>
      <c r="B16" s="11" t="s">
        <v>5</v>
      </c>
      <c r="C16" s="11"/>
      <c r="D16" s="19">
        <f>+D14+D10</f>
        <v>1545</v>
      </c>
      <c r="E16" s="19">
        <f>+E14+E10</f>
        <v>816.03</v>
      </c>
      <c r="F16" s="46">
        <f>+E16/D16</f>
        <v>0.5281747572815534</v>
      </c>
      <c r="G16" s="68">
        <f>+G14+G10</f>
        <v>313</v>
      </c>
      <c r="H16" s="68">
        <f>+H14+H10</f>
        <v>310.42</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&amp;P&amp;R&amp;D&amp;T</oddFooter>
  </headerFooter>
</worksheet>
</file>

<file path=xl/worksheets/sheet14.xml><?xml version="1.0" encoding="utf-8"?>
<worksheet xmlns="http://schemas.openxmlformats.org/spreadsheetml/2006/main" xmlns:r="http://schemas.openxmlformats.org/officeDocument/2006/relationships">
  <sheetPr>
    <tabColor rgb="FF00B050"/>
  </sheetPr>
  <dimension ref="A1:J20"/>
  <sheetViews>
    <sheetView zoomScalePageLayoutView="0" workbookViewId="0" topLeftCell="A1">
      <selection activeCell="C6" sqref="C6:C11"/>
    </sheetView>
  </sheetViews>
  <sheetFormatPr defaultColWidth="9.140625" defaultRowHeight="15"/>
  <cols>
    <col min="1" max="1" width="4.7109375" style="3" customWidth="1"/>
    <col min="2" max="2" width="41.8515625" style="1" customWidth="1"/>
    <col min="3" max="3" width="6.7109375" style="1" customWidth="1"/>
    <col min="4" max="4" width="11.421875" style="16" customWidth="1"/>
    <col min="5" max="5" width="13.28125" style="16" customWidth="1"/>
    <col min="6" max="6" width="8.00390625" style="36" customWidth="1"/>
    <col min="7" max="7" width="12.57421875" style="3" customWidth="1"/>
    <col min="8" max="8" width="13.00390625" style="3" customWidth="1"/>
    <col min="9" max="9" width="34.8515625" style="83" customWidth="1"/>
    <col min="10" max="16384" width="9.140625" style="4" customWidth="1"/>
  </cols>
  <sheetData>
    <row r="1" spans="1:10" ht="15">
      <c r="A1" s="75"/>
      <c r="B1" s="75"/>
      <c r="C1" s="75"/>
      <c r="D1" s="75"/>
      <c r="E1" s="75"/>
      <c r="F1" s="98"/>
      <c r="G1" s="75"/>
      <c r="H1" s="75"/>
      <c r="I1" s="77" t="s">
        <v>18</v>
      </c>
      <c r="J1" s="48" t="s">
        <v>79</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78" t="s">
        <v>27</v>
      </c>
      <c r="B4" s="75"/>
      <c r="C4" s="75"/>
      <c r="D4" s="75"/>
      <c r="E4" s="75"/>
      <c r="F4" s="98"/>
      <c r="G4" s="75"/>
      <c r="H4" s="75"/>
      <c r="I4" s="79" t="s">
        <v>7</v>
      </c>
    </row>
    <row r="5" spans="1:9" s="2" customFormat="1" ht="71.25">
      <c r="A5" s="80"/>
      <c r="B5" s="81" t="s">
        <v>0</v>
      </c>
      <c r="C5" s="80" t="s">
        <v>9</v>
      </c>
      <c r="D5" s="211" t="s">
        <v>144</v>
      </c>
      <c r="E5" s="82" t="s">
        <v>6</v>
      </c>
      <c r="F5" s="37" t="s">
        <v>1</v>
      </c>
      <c r="G5" s="82" t="s">
        <v>38</v>
      </c>
      <c r="H5" s="80" t="s">
        <v>39</v>
      </c>
      <c r="I5" s="80" t="s">
        <v>40</v>
      </c>
    </row>
    <row r="6" spans="1:9" ht="24.75" customHeight="1">
      <c r="A6" s="84">
        <v>1</v>
      </c>
      <c r="B6" s="85" t="s">
        <v>3</v>
      </c>
      <c r="C6" s="95" t="s">
        <v>10</v>
      </c>
      <c r="D6" s="86">
        <v>585</v>
      </c>
      <c r="E6" s="93">
        <v>342.88</v>
      </c>
      <c r="F6" s="99">
        <f>+E6/D6</f>
        <v>0.5861196581196582</v>
      </c>
      <c r="G6" s="91">
        <v>242.12</v>
      </c>
      <c r="H6" s="92">
        <v>0</v>
      </c>
      <c r="I6" s="214" t="s">
        <v>75</v>
      </c>
    </row>
    <row r="7" spans="1:9" ht="60.75" customHeight="1">
      <c r="A7" s="84">
        <v>2</v>
      </c>
      <c r="B7" s="85" t="s">
        <v>4</v>
      </c>
      <c r="C7" s="96"/>
      <c r="D7" s="86">
        <v>310</v>
      </c>
      <c r="E7" s="86">
        <v>50.67999999999999</v>
      </c>
      <c r="F7" s="99">
        <f>+E7/D7</f>
        <v>0.16348387096774192</v>
      </c>
      <c r="G7" s="91">
        <v>139.32</v>
      </c>
      <c r="H7" s="92">
        <v>120</v>
      </c>
      <c r="I7" s="117" t="s">
        <v>131</v>
      </c>
    </row>
    <row r="8" spans="1:9" ht="24.75" customHeight="1">
      <c r="A8" s="84">
        <v>3</v>
      </c>
      <c r="B8" s="85" t="s">
        <v>13</v>
      </c>
      <c r="C8" s="96"/>
      <c r="D8" s="86">
        <v>0</v>
      </c>
      <c r="E8" s="86">
        <v>0</v>
      </c>
      <c r="F8" s="99"/>
      <c r="G8" s="86">
        <v>0</v>
      </c>
      <c r="H8" s="86">
        <v>0</v>
      </c>
      <c r="I8" s="212"/>
    </row>
    <row r="9" spans="1:9" ht="46.5" customHeight="1">
      <c r="A9" s="84">
        <v>4</v>
      </c>
      <c r="B9" s="85" t="s">
        <v>14</v>
      </c>
      <c r="C9" s="97"/>
      <c r="D9" s="86">
        <v>50</v>
      </c>
      <c r="E9" s="86">
        <v>0</v>
      </c>
      <c r="F9" s="99">
        <f>+E9/D9</f>
        <v>0</v>
      </c>
      <c r="G9" s="92">
        <v>10</v>
      </c>
      <c r="H9" s="92">
        <v>40</v>
      </c>
      <c r="I9" s="215" t="s">
        <v>152</v>
      </c>
    </row>
    <row r="10" spans="1:9" s="6" customFormat="1" ht="24.75" customHeight="1">
      <c r="A10" s="88"/>
      <c r="B10" s="81" t="s">
        <v>8</v>
      </c>
      <c r="C10" s="81"/>
      <c r="D10" s="89">
        <f>SUM(D6:D9)</f>
        <v>945</v>
      </c>
      <c r="E10" s="89">
        <f>SUM(E6:E9)</f>
        <v>393.56</v>
      </c>
      <c r="F10" s="100">
        <f>+E10/D10</f>
        <v>0.4164656084656085</v>
      </c>
      <c r="G10" s="89">
        <f>SUM(G6:G9)</f>
        <v>391.44</v>
      </c>
      <c r="H10" s="89">
        <f>SUM(H6:H9)</f>
        <v>160</v>
      </c>
      <c r="I10" s="213"/>
    </row>
    <row r="11" spans="1:9" ht="24.75" customHeight="1">
      <c r="A11" s="84">
        <v>5</v>
      </c>
      <c r="B11" s="109" t="s">
        <v>129</v>
      </c>
      <c r="C11" s="95">
        <v>3</v>
      </c>
      <c r="D11" s="86">
        <v>92</v>
      </c>
      <c r="E11" s="86">
        <v>67.71</v>
      </c>
      <c r="F11" s="99">
        <f>+E11/D11</f>
        <v>0.7359782608695652</v>
      </c>
      <c r="G11" s="91">
        <v>24.290000000000006</v>
      </c>
      <c r="H11" s="92">
        <v>0</v>
      </c>
      <c r="I11" s="212"/>
    </row>
    <row r="12" spans="1:9" ht="24.75" customHeight="1">
      <c r="A12" s="84">
        <v>6</v>
      </c>
      <c r="B12" s="85" t="s">
        <v>11</v>
      </c>
      <c r="C12" s="96"/>
      <c r="D12" s="86">
        <v>310</v>
      </c>
      <c r="E12" s="86">
        <v>132.04</v>
      </c>
      <c r="F12" s="99">
        <f>+E12/D12</f>
        <v>0.4259354838709677</v>
      </c>
      <c r="G12" s="91">
        <v>177.96</v>
      </c>
      <c r="H12" s="92">
        <v>0</v>
      </c>
      <c r="I12" s="212"/>
    </row>
    <row r="13" spans="1:9" ht="34.5" customHeight="1">
      <c r="A13" s="84">
        <v>7</v>
      </c>
      <c r="B13" s="85" t="s">
        <v>12</v>
      </c>
      <c r="C13" s="97"/>
      <c r="D13" s="86">
        <v>62</v>
      </c>
      <c r="E13" s="86">
        <v>0.05</v>
      </c>
      <c r="F13" s="99">
        <f>+E13/D13</f>
        <v>0.0008064516129032258</v>
      </c>
      <c r="G13" s="91">
        <v>43.02</v>
      </c>
      <c r="H13" s="92">
        <v>20</v>
      </c>
      <c r="I13" s="117" t="s">
        <v>168</v>
      </c>
    </row>
    <row r="14" spans="1:9" s="6" customFormat="1" ht="24.75" customHeight="1">
      <c r="A14" s="88"/>
      <c r="B14" s="81" t="s">
        <v>8</v>
      </c>
      <c r="C14" s="81"/>
      <c r="D14" s="89">
        <f>SUM(D11:D13)</f>
        <v>464</v>
      </c>
      <c r="E14" s="89">
        <f>SUM(E11:E13)</f>
        <v>199.8</v>
      </c>
      <c r="F14" s="100">
        <f>+E14/D14</f>
        <v>0.4306034482758621</v>
      </c>
      <c r="G14" s="89">
        <f>SUM(G11:G13)</f>
        <v>245.27</v>
      </c>
      <c r="H14" s="89">
        <f>SUM(H11:H13)</f>
        <v>20</v>
      </c>
      <c r="I14" s="90"/>
    </row>
    <row r="15" spans="1:9" ht="24.75" customHeight="1">
      <c r="A15" s="84"/>
      <c r="B15" s="85"/>
      <c r="C15" s="85"/>
      <c r="D15" s="86"/>
      <c r="E15" s="86"/>
      <c r="F15" s="99"/>
      <c r="G15" s="84"/>
      <c r="H15" s="84"/>
      <c r="I15" s="87"/>
    </row>
    <row r="16" spans="1:9" s="6" customFormat="1" ht="24.75" customHeight="1">
      <c r="A16" s="88"/>
      <c r="B16" s="81" t="s">
        <v>5</v>
      </c>
      <c r="C16" s="81"/>
      <c r="D16" s="89">
        <f>+D14+D10</f>
        <v>1409</v>
      </c>
      <c r="E16" s="89">
        <f>+E14+E10</f>
        <v>593.36</v>
      </c>
      <c r="F16" s="100">
        <f>+E16/D16</f>
        <v>0.42112136266855926</v>
      </c>
      <c r="G16" s="89">
        <f>+G14+G10</f>
        <v>636.71</v>
      </c>
      <c r="H16" s="89">
        <f>+H14+H10</f>
        <v>180</v>
      </c>
      <c r="I16" s="90"/>
    </row>
    <row r="17" spans="1:9" ht="15">
      <c r="A17" s="69"/>
      <c r="B17" s="76" t="s">
        <v>15</v>
      </c>
      <c r="C17" s="75"/>
      <c r="D17" s="75"/>
      <c r="E17" s="75"/>
      <c r="F17" s="101"/>
      <c r="G17" s="75"/>
      <c r="H17" s="75"/>
      <c r="I17" s="204"/>
    </row>
    <row r="18" spans="1:9" ht="15">
      <c r="A18" s="69"/>
      <c r="B18" s="83" t="s">
        <v>76</v>
      </c>
      <c r="C18" s="83"/>
      <c r="D18" s="83"/>
      <c r="E18" s="83"/>
      <c r="F18" s="102"/>
      <c r="G18" s="83"/>
      <c r="H18" s="83"/>
      <c r="I18" s="204"/>
    </row>
    <row r="19" spans="1:9" ht="15">
      <c r="A19" s="69"/>
      <c r="B19" s="75"/>
      <c r="C19" s="75"/>
      <c r="D19" s="75"/>
      <c r="E19" s="75"/>
      <c r="F19" s="98"/>
      <c r="G19" s="75"/>
      <c r="H19" s="75"/>
      <c r="I19" s="83" t="s">
        <v>77</v>
      </c>
    </row>
    <row r="20" spans="1:9" ht="15">
      <c r="A20" s="69"/>
      <c r="B20" s="75"/>
      <c r="C20" s="75"/>
      <c r="D20" s="75"/>
      <c r="E20" s="75"/>
      <c r="F20" s="98"/>
      <c r="G20" s="75"/>
      <c r="H20" s="75"/>
      <c r="I20" s="94" t="s">
        <v>78</v>
      </c>
    </row>
  </sheetData>
  <sheetProtection/>
  <mergeCells count="2">
    <mergeCell ref="A2:I2"/>
    <mergeCell ref="A3:I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15.xml><?xml version="1.0" encoding="utf-8"?>
<worksheet xmlns="http://schemas.openxmlformats.org/spreadsheetml/2006/main" xmlns:r="http://schemas.openxmlformats.org/officeDocument/2006/relationships">
  <sheetPr>
    <tabColor rgb="FF00B050"/>
  </sheetPr>
  <dimension ref="A1:K21"/>
  <sheetViews>
    <sheetView zoomScalePageLayoutView="0" workbookViewId="0" topLeftCell="A1">
      <selection activeCell="C6" sqref="C6:C11"/>
    </sheetView>
  </sheetViews>
  <sheetFormatPr defaultColWidth="9.140625" defaultRowHeight="15"/>
  <cols>
    <col min="1" max="1" width="4.7109375" style="3" customWidth="1"/>
    <col min="2" max="2" width="40.421875" style="1" customWidth="1"/>
    <col min="3" max="3" width="6.7109375" style="1" customWidth="1"/>
    <col min="4" max="4" width="11.57421875" style="16" customWidth="1"/>
    <col min="5" max="5" width="13.28125" style="16" customWidth="1"/>
    <col min="6" max="6" width="8.57421875" style="36" customWidth="1"/>
    <col min="7" max="8" width="12.57421875" style="3" customWidth="1"/>
    <col min="9" max="9" width="35.8515625" style="4" customWidth="1"/>
    <col min="10" max="16384" width="9.140625" style="4" customWidth="1"/>
  </cols>
  <sheetData>
    <row r="1" ht="15">
      <c r="I1" s="15" t="s">
        <v>18</v>
      </c>
    </row>
    <row r="2" spans="1:9" ht="21.75" customHeight="1">
      <c r="A2" s="260" t="s">
        <v>16</v>
      </c>
      <c r="B2" s="260"/>
      <c r="C2" s="260"/>
      <c r="D2" s="260"/>
      <c r="E2" s="260"/>
      <c r="F2" s="260"/>
      <c r="G2" s="260"/>
      <c r="H2" s="260"/>
      <c r="I2" s="260"/>
    </row>
    <row r="3" spans="1:9" ht="21.75" customHeight="1">
      <c r="A3" s="260" t="s">
        <v>17</v>
      </c>
      <c r="B3" s="260"/>
      <c r="C3" s="260"/>
      <c r="D3" s="260"/>
      <c r="E3" s="260"/>
      <c r="F3" s="260"/>
      <c r="G3" s="260"/>
      <c r="H3" s="260"/>
      <c r="I3" s="260"/>
    </row>
    <row r="4" spans="1:9" ht="15">
      <c r="A4" s="14" t="s">
        <v>26</v>
      </c>
      <c r="I4" s="5" t="s">
        <v>7</v>
      </c>
    </row>
    <row r="5" spans="1:9" s="2" customFormat="1" ht="71.25">
      <c r="A5" s="10"/>
      <c r="B5" s="11" t="s">
        <v>0</v>
      </c>
      <c r="C5" s="10" t="s">
        <v>9</v>
      </c>
      <c r="D5" s="211" t="s">
        <v>144</v>
      </c>
      <c r="E5" s="17" t="s">
        <v>6</v>
      </c>
      <c r="F5" s="37" t="s">
        <v>1</v>
      </c>
      <c r="G5" s="17" t="s">
        <v>38</v>
      </c>
      <c r="H5" s="10" t="s">
        <v>39</v>
      </c>
      <c r="I5" s="10" t="s">
        <v>40</v>
      </c>
    </row>
    <row r="6" spans="1:11" ht="24.75" customHeight="1">
      <c r="A6" s="7">
        <v>1</v>
      </c>
      <c r="B6" s="8" t="s">
        <v>3</v>
      </c>
      <c r="C6" s="261" t="s">
        <v>10</v>
      </c>
      <c r="D6" s="18">
        <f>400+80</f>
        <v>480</v>
      </c>
      <c r="E6" s="18">
        <v>370</v>
      </c>
      <c r="F6" s="112">
        <f>+E6/D6</f>
        <v>0.7708333333333334</v>
      </c>
      <c r="G6" s="113">
        <v>40.1</v>
      </c>
      <c r="H6" s="113">
        <v>69.9</v>
      </c>
      <c r="I6" s="9"/>
      <c r="K6" s="4" t="s">
        <v>35</v>
      </c>
    </row>
    <row r="7" spans="1:9" ht="55.5" customHeight="1">
      <c r="A7" s="7">
        <v>2</v>
      </c>
      <c r="B7" s="8" t="s">
        <v>4</v>
      </c>
      <c r="C7" s="262"/>
      <c r="D7" s="18">
        <v>475</v>
      </c>
      <c r="E7" s="18">
        <v>10</v>
      </c>
      <c r="F7" s="112">
        <f>+E7/D7</f>
        <v>0.021052631578947368</v>
      </c>
      <c r="G7" s="113">
        <v>0</v>
      </c>
      <c r="H7" s="113">
        <v>222</v>
      </c>
      <c r="I7" s="117" t="s">
        <v>153</v>
      </c>
    </row>
    <row r="8" spans="1:9" s="83" customFormat="1" ht="46.5" customHeight="1">
      <c r="A8" s="201"/>
      <c r="B8" s="109"/>
      <c r="C8" s="262"/>
      <c r="D8" s="110"/>
      <c r="E8" s="110"/>
      <c r="F8" s="203"/>
      <c r="G8" s="202"/>
      <c r="H8" s="202"/>
      <c r="I8" s="117" t="s">
        <v>146</v>
      </c>
    </row>
    <row r="9" spans="1:9" ht="24.75" customHeight="1">
      <c r="A9" s="7">
        <v>3</v>
      </c>
      <c r="B9" s="8" t="s">
        <v>13</v>
      </c>
      <c r="C9" s="262"/>
      <c r="D9" s="18">
        <v>600</v>
      </c>
      <c r="E9" s="18">
        <v>304</v>
      </c>
      <c r="F9" s="112">
        <f>+E9/D9</f>
        <v>0.5066666666666667</v>
      </c>
      <c r="G9" s="113">
        <f>65+47.9</f>
        <v>112.9</v>
      </c>
      <c r="H9" s="113">
        <v>231</v>
      </c>
      <c r="I9" s="117" t="s">
        <v>84</v>
      </c>
    </row>
    <row r="10" spans="1:9" ht="32.25" customHeight="1">
      <c r="A10" s="7">
        <v>4</v>
      </c>
      <c r="B10" s="8" t="s">
        <v>14</v>
      </c>
      <c r="C10" s="263"/>
      <c r="D10" s="18">
        <v>50</v>
      </c>
      <c r="E10" s="18">
        <v>0</v>
      </c>
      <c r="F10" s="112">
        <f>+E10/D10</f>
        <v>0</v>
      </c>
      <c r="G10" s="113"/>
      <c r="H10" s="113">
        <v>50</v>
      </c>
      <c r="I10" s="117" t="s">
        <v>130</v>
      </c>
    </row>
    <row r="11" spans="1:9" s="6" customFormat="1" ht="24.75" customHeight="1">
      <c r="A11" s="12"/>
      <c r="B11" s="11" t="s">
        <v>8</v>
      </c>
      <c r="C11" s="11"/>
      <c r="D11" s="19">
        <f>SUM(D6:D10)</f>
        <v>1605</v>
      </c>
      <c r="E11" s="19">
        <f>SUM(E6:E10)</f>
        <v>684</v>
      </c>
      <c r="F11" s="100">
        <f>+E11/D11</f>
        <v>0.4261682242990654</v>
      </c>
      <c r="G11" s="111">
        <f>SUM(G6:G10)</f>
        <v>153</v>
      </c>
      <c r="H11" s="111">
        <f>SUM(H6:H10)</f>
        <v>572.9</v>
      </c>
      <c r="I11" s="213"/>
    </row>
    <row r="12" spans="1:9" ht="36.75" customHeight="1">
      <c r="A12" s="7">
        <v>5</v>
      </c>
      <c r="B12" s="109" t="s">
        <v>129</v>
      </c>
      <c r="C12" s="261">
        <v>3</v>
      </c>
      <c r="D12" s="18">
        <v>405</v>
      </c>
      <c r="E12" s="18">
        <v>93.7</v>
      </c>
      <c r="F12" s="112">
        <f>+E12/D12</f>
        <v>0.23135802469135802</v>
      </c>
      <c r="G12" s="113">
        <v>2</v>
      </c>
      <c r="H12" s="113">
        <v>240</v>
      </c>
      <c r="I12" s="117" t="s">
        <v>97</v>
      </c>
    </row>
    <row r="13" spans="1:11" ht="24.75" customHeight="1">
      <c r="A13" s="7">
        <v>6</v>
      </c>
      <c r="B13" s="8" t="s">
        <v>11</v>
      </c>
      <c r="C13" s="262"/>
      <c r="D13" s="18">
        <f>431-80</f>
        <v>351</v>
      </c>
      <c r="E13" s="18">
        <v>67.8</v>
      </c>
      <c r="F13" s="112">
        <f>+E13/D13</f>
        <v>0.19316239316239314</v>
      </c>
      <c r="G13" s="113">
        <v>0</v>
      </c>
      <c r="H13" s="113">
        <v>587</v>
      </c>
      <c r="I13" s="9"/>
      <c r="K13" s="4">
        <f>431-351</f>
        <v>80</v>
      </c>
    </row>
    <row r="14" spans="1:9" ht="24.75" customHeight="1">
      <c r="A14" s="7">
        <v>7</v>
      </c>
      <c r="B14" s="8" t="s">
        <v>12</v>
      </c>
      <c r="C14" s="263"/>
      <c r="D14" s="18">
        <v>56</v>
      </c>
      <c r="E14" s="18">
        <v>5.7</v>
      </c>
      <c r="F14" s="112">
        <f>+E14/D14</f>
        <v>0.10178571428571428</v>
      </c>
      <c r="G14" s="113">
        <v>0</v>
      </c>
      <c r="H14" s="113">
        <v>50.3</v>
      </c>
      <c r="I14" s="9"/>
    </row>
    <row r="15" spans="1:9" s="6" customFormat="1" ht="24.75" customHeight="1">
      <c r="A15" s="12"/>
      <c r="B15" s="11" t="s">
        <v>8</v>
      </c>
      <c r="C15" s="11"/>
      <c r="D15" s="19">
        <f>SUM(D12:D14)</f>
        <v>812</v>
      </c>
      <c r="E15" s="111">
        <f>SUM(E12:E14)</f>
        <v>167.2</v>
      </c>
      <c r="F15" s="100">
        <f>+E15/D15</f>
        <v>0.20591133004926107</v>
      </c>
      <c r="G15" s="111">
        <f>SUM(G12:G14)</f>
        <v>2</v>
      </c>
      <c r="H15" s="111">
        <f>SUM(H12:H14)</f>
        <v>877.3</v>
      </c>
      <c r="I15" s="13"/>
    </row>
    <row r="16" spans="1:9" ht="22.5" customHeight="1">
      <c r="A16" s="7"/>
      <c r="B16" s="8"/>
      <c r="C16" s="8"/>
      <c r="D16" s="18"/>
      <c r="E16" s="110"/>
      <c r="F16" s="99"/>
      <c r="G16" s="110"/>
      <c r="H16" s="110"/>
      <c r="I16" s="9"/>
    </row>
    <row r="17" spans="1:9" s="6" customFormat="1" ht="24.75" customHeight="1">
      <c r="A17" s="12"/>
      <c r="B17" s="11" t="s">
        <v>5</v>
      </c>
      <c r="C17" s="11"/>
      <c r="D17" s="19">
        <f>+D15+D11</f>
        <v>2417</v>
      </c>
      <c r="E17" s="111">
        <f>+E15+E11</f>
        <v>851.2</v>
      </c>
      <c r="F17" s="100">
        <f>+E17/D17</f>
        <v>0.3521721141911461</v>
      </c>
      <c r="G17" s="111">
        <f>+G15+G11</f>
        <v>155</v>
      </c>
      <c r="H17" s="111">
        <f>+H15+H11</f>
        <v>1450.1999999999998</v>
      </c>
      <c r="I17" s="13"/>
    </row>
    <row r="18" ht="15">
      <c r="B18" s="1" t="s">
        <v>15</v>
      </c>
    </row>
    <row r="20" ht="15">
      <c r="I20" s="4" t="s">
        <v>19</v>
      </c>
    </row>
    <row r="21" ht="15">
      <c r="I21" s="4" t="s">
        <v>20</v>
      </c>
    </row>
  </sheetData>
  <sheetProtection/>
  <mergeCells count="4">
    <mergeCell ref="A2:I2"/>
    <mergeCell ref="A3:I3"/>
    <mergeCell ref="C6:C10"/>
    <mergeCell ref="C12:C14"/>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16.xml><?xml version="1.0" encoding="utf-8"?>
<worksheet xmlns="http://schemas.openxmlformats.org/spreadsheetml/2006/main" xmlns:r="http://schemas.openxmlformats.org/officeDocument/2006/relationships">
  <dimension ref="A1:I20"/>
  <sheetViews>
    <sheetView zoomScalePageLayoutView="0" workbookViewId="0" topLeftCell="A1">
      <selection activeCell="G1" sqref="G1:H65536"/>
    </sheetView>
  </sheetViews>
  <sheetFormatPr defaultColWidth="9.140625" defaultRowHeight="15"/>
  <cols>
    <col min="1" max="1" width="4.7109375" style="3" customWidth="1"/>
    <col min="2" max="2" width="41.8515625" style="1" customWidth="1"/>
    <col min="3" max="3" width="6.7109375" style="1" customWidth="1"/>
    <col min="4" max="5" width="13.28125" style="16" customWidth="1"/>
    <col min="6" max="6" width="9.140625" style="3" customWidth="1"/>
    <col min="7" max="7" width="12.57421875" style="3" customWidth="1"/>
    <col min="8" max="8" width="13.00390625" style="3" customWidth="1"/>
    <col min="9" max="9" width="40.8515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37</v>
      </c>
      <c r="I4" s="5" t="s">
        <v>7</v>
      </c>
    </row>
    <row r="5" spans="1:9" s="2" customFormat="1" ht="71.25">
      <c r="A5" s="10"/>
      <c r="B5" s="11" t="s">
        <v>0</v>
      </c>
      <c r="C5" s="10" t="s">
        <v>9</v>
      </c>
      <c r="D5" s="17" t="s">
        <v>22</v>
      </c>
      <c r="E5" s="17" t="s">
        <v>6</v>
      </c>
      <c r="F5" s="10" t="s">
        <v>1</v>
      </c>
      <c r="G5" s="17" t="s">
        <v>38</v>
      </c>
      <c r="H5" s="10" t="s">
        <v>39</v>
      </c>
      <c r="I5" s="10" t="s">
        <v>40</v>
      </c>
    </row>
    <row r="6" spans="1:9" ht="24.75" customHeight="1">
      <c r="A6" s="7">
        <v>1</v>
      </c>
      <c r="B6" s="8" t="s">
        <v>3</v>
      </c>
      <c r="C6" s="261" t="s">
        <v>10</v>
      </c>
      <c r="D6" s="18">
        <v>25</v>
      </c>
      <c r="E6" s="18"/>
      <c r="F6" s="7"/>
      <c r="G6" s="7"/>
      <c r="H6" s="7"/>
      <c r="I6" s="9"/>
    </row>
    <row r="7" spans="1:9" ht="24.75" customHeight="1">
      <c r="A7" s="7">
        <v>2</v>
      </c>
      <c r="B7" s="8" t="s">
        <v>4</v>
      </c>
      <c r="C7" s="262"/>
      <c r="D7" s="18">
        <v>0</v>
      </c>
      <c r="E7" s="18"/>
      <c r="F7" s="7"/>
      <c r="G7" s="7"/>
      <c r="H7" s="7"/>
      <c r="I7" s="9"/>
    </row>
    <row r="8" spans="1:9" ht="24.75" customHeight="1">
      <c r="A8" s="7">
        <v>3</v>
      </c>
      <c r="B8" s="8" t="s">
        <v>13</v>
      </c>
      <c r="C8" s="262"/>
      <c r="D8" s="18">
        <v>0</v>
      </c>
      <c r="E8" s="18"/>
      <c r="F8" s="7"/>
      <c r="G8" s="7"/>
      <c r="H8" s="7"/>
      <c r="I8" s="9"/>
    </row>
    <row r="9" spans="1:9" ht="24.75" customHeight="1">
      <c r="A9" s="7">
        <v>4</v>
      </c>
      <c r="B9" s="8" t="s">
        <v>14</v>
      </c>
      <c r="C9" s="263"/>
      <c r="D9" s="18">
        <v>0</v>
      </c>
      <c r="E9" s="18"/>
      <c r="F9" s="7"/>
      <c r="G9" s="7"/>
      <c r="H9" s="7"/>
      <c r="I9" s="9"/>
    </row>
    <row r="10" spans="1:9" s="6" customFormat="1" ht="24.75" customHeight="1">
      <c r="A10" s="12"/>
      <c r="B10" s="11" t="s">
        <v>8</v>
      </c>
      <c r="C10" s="11"/>
      <c r="D10" s="19">
        <f>SUM(D6:D9)</f>
        <v>25</v>
      </c>
      <c r="E10" s="19">
        <f>SUM(E6:E9)</f>
        <v>0</v>
      </c>
      <c r="F10" s="12"/>
      <c r="G10" s="12"/>
      <c r="H10" s="12"/>
      <c r="I10" s="13"/>
    </row>
    <row r="11" spans="1:9" ht="24.75" customHeight="1">
      <c r="A11" s="7">
        <v>5</v>
      </c>
      <c r="B11" s="8" t="s">
        <v>2</v>
      </c>
      <c r="C11" s="261">
        <v>3</v>
      </c>
      <c r="D11" s="18">
        <v>18</v>
      </c>
      <c r="E11" s="18"/>
      <c r="F11" s="7"/>
      <c r="G11" s="7"/>
      <c r="H11" s="7"/>
      <c r="I11" s="9"/>
    </row>
    <row r="12" spans="1:9" ht="24.75" customHeight="1">
      <c r="A12" s="7">
        <v>6</v>
      </c>
      <c r="B12" s="8" t="s">
        <v>11</v>
      </c>
      <c r="C12" s="262"/>
      <c r="D12" s="18">
        <v>57</v>
      </c>
      <c r="E12" s="18"/>
      <c r="F12" s="7"/>
      <c r="G12" s="7"/>
      <c r="H12" s="7"/>
      <c r="I12" s="9"/>
    </row>
    <row r="13" spans="1:9" ht="24.75" customHeight="1">
      <c r="A13" s="7">
        <v>7</v>
      </c>
      <c r="B13" s="8" t="s">
        <v>12</v>
      </c>
      <c r="C13" s="263"/>
      <c r="D13" s="18">
        <v>30</v>
      </c>
      <c r="E13" s="18"/>
      <c r="F13" s="7"/>
      <c r="G13" s="7"/>
      <c r="H13" s="7"/>
      <c r="I13" s="9"/>
    </row>
    <row r="14" spans="1:9" s="6" customFormat="1" ht="24.75" customHeight="1">
      <c r="A14" s="12"/>
      <c r="B14" s="11" t="s">
        <v>8</v>
      </c>
      <c r="C14" s="11"/>
      <c r="D14" s="19">
        <f>SUM(D11:D13)</f>
        <v>105</v>
      </c>
      <c r="E14" s="19">
        <f>SUM(E11:E13)</f>
        <v>0</v>
      </c>
      <c r="F14" s="12"/>
      <c r="G14" s="12"/>
      <c r="H14" s="12"/>
      <c r="I14" s="13"/>
    </row>
    <row r="15" spans="1:9" ht="24.75" customHeight="1">
      <c r="A15" s="7"/>
      <c r="B15" s="8"/>
      <c r="C15" s="8"/>
      <c r="D15" s="18"/>
      <c r="E15" s="18"/>
      <c r="F15" s="7"/>
      <c r="G15" s="7"/>
      <c r="H15" s="7"/>
      <c r="I15" s="9"/>
    </row>
    <row r="16" spans="1:9" s="6" customFormat="1" ht="24.75" customHeight="1">
      <c r="A16" s="12"/>
      <c r="B16" s="11" t="s">
        <v>5</v>
      </c>
      <c r="C16" s="11"/>
      <c r="D16" s="19">
        <f>+D14+D10</f>
        <v>130</v>
      </c>
      <c r="E16" s="19">
        <f>+E14+E10</f>
        <v>0</v>
      </c>
      <c r="F16" s="12"/>
      <c r="G16" s="12"/>
      <c r="H16" s="12"/>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1" right="0.51"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50"/>
  </sheetPr>
  <dimension ref="A1:J20"/>
  <sheetViews>
    <sheetView zoomScalePageLayoutView="0" workbookViewId="0" topLeftCell="A1">
      <selection activeCell="C6" sqref="C6:C11"/>
    </sheetView>
  </sheetViews>
  <sheetFormatPr defaultColWidth="9.140625" defaultRowHeight="15"/>
  <cols>
    <col min="1" max="1" width="4.7109375" style="52" customWidth="1"/>
    <col min="2" max="2" width="41.8515625" style="50" customWidth="1"/>
    <col min="3" max="3" width="6.7109375" style="50" customWidth="1"/>
    <col min="4" max="4" width="11.28125" style="65" customWidth="1"/>
    <col min="5" max="5" width="13.28125" style="65" customWidth="1"/>
    <col min="6" max="6" width="7.57421875" style="36" customWidth="1"/>
    <col min="7" max="7" width="12.57421875" style="52" customWidth="1"/>
    <col min="8" max="8" width="13.00390625" style="52" customWidth="1"/>
    <col min="9" max="9" width="35.140625" style="53" customWidth="1"/>
    <col min="10" max="16384" width="9.140625" style="53" customWidth="1"/>
  </cols>
  <sheetData>
    <row r="1" spans="9:10" ht="15">
      <c r="I1" s="64" t="s">
        <v>18</v>
      </c>
      <c r="J1" s="49" t="s">
        <v>72</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63" t="s">
        <v>28</v>
      </c>
      <c r="I4" s="54" t="s">
        <v>7</v>
      </c>
    </row>
    <row r="5" spans="1:9" s="51" customFormat="1" ht="71.25">
      <c r="A5" s="59"/>
      <c r="B5" s="60" t="s">
        <v>0</v>
      </c>
      <c r="C5" s="59" t="s">
        <v>9</v>
      </c>
      <c r="D5" s="211" t="s">
        <v>144</v>
      </c>
      <c r="E5" s="66" t="s">
        <v>6</v>
      </c>
      <c r="F5" s="37" t="s">
        <v>1</v>
      </c>
      <c r="G5" s="66" t="s">
        <v>38</v>
      </c>
      <c r="H5" s="59" t="s">
        <v>39</v>
      </c>
      <c r="I5" s="59" t="s">
        <v>40</v>
      </c>
    </row>
    <row r="6" spans="1:9" ht="34.5" customHeight="1">
      <c r="A6" s="56">
        <v>1</v>
      </c>
      <c r="B6" s="57" t="s">
        <v>3</v>
      </c>
      <c r="C6" s="261" t="s">
        <v>10</v>
      </c>
      <c r="D6" s="92">
        <v>369</v>
      </c>
      <c r="E6" s="92">
        <v>250</v>
      </c>
      <c r="F6" s="73">
        <f>+E6/D6</f>
        <v>0.6775067750677507</v>
      </c>
      <c r="G6" s="92">
        <v>0</v>
      </c>
      <c r="H6" s="92">
        <v>19</v>
      </c>
      <c r="I6" s="117" t="s">
        <v>154</v>
      </c>
    </row>
    <row r="7" spans="1:9" ht="34.5" customHeight="1">
      <c r="A7" s="56">
        <v>2</v>
      </c>
      <c r="B7" s="57" t="s">
        <v>4</v>
      </c>
      <c r="C7" s="262"/>
      <c r="D7" s="92">
        <v>125</v>
      </c>
      <c r="E7" s="92">
        <v>15</v>
      </c>
      <c r="F7" s="73">
        <f>+E7/D7</f>
        <v>0.12</v>
      </c>
      <c r="G7" s="92">
        <v>5</v>
      </c>
      <c r="H7" s="92">
        <v>5</v>
      </c>
      <c r="I7" s="117" t="s">
        <v>132</v>
      </c>
    </row>
    <row r="8" spans="1:9" ht="24.75" customHeight="1">
      <c r="A8" s="56">
        <v>3</v>
      </c>
      <c r="B8" s="57" t="s">
        <v>13</v>
      </c>
      <c r="C8" s="262"/>
      <c r="D8" s="92">
        <v>0</v>
      </c>
      <c r="E8" s="92">
        <v>0</v>
      </c>
      <c r="F8" s="73"/>
      <c r="G8" s="92"/>
      <c r="H8" s="92"/>
      <c r="I8" s="216"/>
    </row>
    <row r="9" spans="1:9" ht="28.5" customHeight="1">
      <c r="A9" s="56">
        <v>4</v>
      </c>
      <c r="B9" s="57" t="s">
        <v>14</v>
      </c>
      <c r="C9" s="263"/>
      <c r="D9" s="92">
        <v>25</v>
      </c>
      <c r="E9" s="92">
        <v>0</v>
      </c>
      <c r="F9" s="73">
        <f>+E9/D9</f>
        <v>0</v>
      </c>
      <c r="G9" s="92">
        <v>0</v>
      </c>
      <c r="H9" s="92">
        <v>0</v>
      </c>
      <c r="I9" s="117" t="s">
        <v>133</v>
      </c>
    </row>
    <row r="10" spans="1:9" s="55" customFormat="1" ht="24.75" customHeight="1">
      <c r="A10" s="61"/>
      <c r="B10" s="60" t="s">
        <v>8</v>
      </c>
      <c r="C10" s="60"/>
      <c r="D10" s="104">
        <f>SUM(D6:D9)</f>
        <v>519</v>
      </c>
      <c r="E10" s="104">
        <f>SUM(E6:E9)</f>
        <v>265</v>
      </c>
      <c r="F10" s="103">
        <f>+E10/D10</f>
        <v>0.5105973025048169</v>
      </c>
      <c r="G10" s="104">
        <f>SUM(G6:G9)</f>
        <v>5</v>
      </c>
      <c r="H10" s="104">
        <f>SUM(H6:H9)</f>
        <v>24</v>
      </c>
      <c r="I10" s="62"/>
    </row>
    <row r="11" spans="1:9" ht="24.75" customHeight="1">
      <c r="A11" s="56">
        <v>5</v>
      </c>
      <c r="B11" s="109" t="s">
        <v>129</v>
      </c>
      <c r="C11" s="261">
        <v>3</v>
      </c>
      <c r="D11" s="92">
        <v>82</v>
      </c>
      <c r="E11" s="92">
        <v>71.5</v>
      </c>
      <c r="F11" s="73">
        <f>+E11/D11</f>
        <v>0.8719512195121951</v>
      </c>
      <c r="G11" s="92">
        <v>10</v>
      </c>
      <c r="H11" s="92">
        <v>0.5</v>
      </c>
      <c r="I11" s="58"/>
    </row>
    <row r="12" spans="1:9" ht="24.75" customHeight="1">
      <c r="A12" s="56">
        <v>6</v>
      </c>
      <c r="B12" s="57" t="s">
        <v>11</v>
      </c>
      <c r="C12" s="262"/>
      <c r="D12" s="92">
        <v>88</v>
      </c>
      <c r="E12" s="92">
        <v>85.3</v>
      </c>
      <c r="F12" s="73">
        <f>+E12/D12</f>
        <v>0.9693181818181817</v>
      </c>
      <c r="G12" s="92">
        <v>1</v>
      </c>
      <c r="H12" s="92">
        <v>1.7</v>
      </c>
      <c r="I12" s="58"/>
    </row>
    <row r="13" spans="1:9" ht="24.75" customHeight="1">
      <c r="A13" s="56">
        <v>7</v>
      </c>
      <c r="B13" s="57" t="s">
        <v>12</v>
      </c>
      <c r="C13" s="263"/>
      <c r="D13" s="92">
        <v>64</v>
      </c>
      <c r="E13" s="92">
        <v>14.5</v>
      </c>
      <c r="F13" s="73">
        <f>+E13/D13</f>
        <v>0.2265625</v>
      </c>
      <c r="G13" s="92">
        <v>18</v>
      </c>
      <c r="H13" s="92">
        <v>25</v>
      </c>
      <c r="I13" s="58"/>
    </row>
    <row r="14" spans="1:9" s="55" customFormat="1" ht="24.75" customHeight="1">
      <c r="A14" s="61"/>
      <c r="B14" s="60" t="s">
        <v>8</v>
      </c>
      <c r="C14" s="60"/>
      <c r="D14" s="104">
        <f>SUM(D11:D13)</f>
        <v>234</v>
      </c>
      <c r="E14" s="104">
        <f>SUM(E11:E13)</f>
        <v>171.3</v>
      </c>
      <c r="F14" s="103">
        <f>+E14/D14</f>
        <v>0.7320512820512821</v>
      </c>
      <c r="G14" s="104">
        <f>SUM(G11:G13)</f>
        <v>29</v>
      </c>
      <c r="H14" s="104">
        <f>SUM(H11:H13)</f>
        <v>27.2</v>
      </c>
      <c r="I14" s="62"/>
    </row>
    <row r="15" spans="1:9" ht="24.75" customHeight="1">
      <c r="A15" s="56"/>
      <c r="B15" s="57"/>
      <c r="C15" s="57"/>
      <c r="D15" s="92"/>
      <c r="E15" s="92"/>
      <c r="F15" s="73"/>
      <c r="G15" s="92"/>
      <c r="H15" s="92"/>
      <c r="I15" s="58"/>
    </row>
    <row r="16" spans="1:9" s="55" customFormat="1" ht="24.75" customHeight="1">
      <c r="A16" s="61"/>
      <c r="B16" s="60" t="s">
        <v>5</v>
      </c>
      <c r="C16" s="60"/>
      <c r="D16" s="104">
        <f>+D14+D10</f>
        <v>753</v>
      </c>
      <c r="E16" s="104">
        <f>+E14+E10</f>
        <v>436.3</v>
      </c>
      <c r="F16" s="103">
        <f>+E16/D16</f>
        <v>0.5794156706507304</v>
      </c>
      <c r="G16" s="104">
        <f>+G14+G10</f>
        <v>34</v>
      </c>
      <c r="H16" s="104">
        <f>+H14+H10</f>
        <v>51.2</v>
      </c>
      <c r="I16" s="62"/>
    </row>
    <row r="17" ht="15">
      <c r="B17" s="50" t="s">
        <v>15</v>
      </c>
    </row>
    <row r="19" ht="15">
      <c r="I19" s="53" t="s">
        <v>19</v>
      </c>
    </row>
    <row r="20" ht="15">
      <c r="I20" s="53"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18.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1">
      <selection activeCell="C6" sqref="C6:C11"/>
    </sheetView>
  </sheetViews>
  <sheetFormatPr defaultColWidth="9.140625" defaultRowHeight="15"/>
  <cols>
    <col min="1" max="1" width="4.7109375" style="3" customWidth="1"/>
    <col min="2" max="2" width="40.57421875" style="1" customWidth="1"/>
    <col min="3" max="3" width="6.7109375" style="1" customWidth="1"/>
    <col min="4" max="4" width="11.8515625" style="16" customWidth="1"/>
    <col min="5" max="5" width="13.28125" style="16" customWidth="1"/>
    <col min="6" max="6" width="9.140625" style="36" customWidth="1"/>
    <col min="7" max="7" width="12.57421875" style="3" customWidth="1"/>
    <col min="8" max="8" width="13.00390625" style="3" customWidth="1"/>
    <col min="9" max="9" width="34.140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34</v>
      </c>
      <c r="I4" s="5" t="s">
        <v>7</v>
      </c>
    </row>
    <row r="5" spans="1:9" s="2" customFormat="1" ht="71.25">
      <c r="A5" s="10"/>
      <c r="B5" s="11" t="s">
        <v>0</v>
      </c>
      <c r="C5" s="10" t="s">
        <v>9</v>
      </c>
      <c r="D5" s="211" t="s">
        <v>144</v>
      </c>
      <c r="E5" s="17" t="s">
        <v>6</v>
      </c>
      <c r="F5" s="37" t="s">
        <v>1</v>
      </c>
      <c r="G5" s="17" t="s">
        <v>38</v>
      </c>
      <c r="H5" s="10" t="s">
        <v>39</v>
      </c>
      <c r="I5" s="10" t="s">
        <v>40</v>
      </c>
    </row>
    <row r="6" spans="1:9" ht="24.75" customHeight="1">
      <c r="A6" s="7">
        <v>1</v>
      </c>
      <c r="B6" s="8" t="s">
        <v>3</v>
      </c>
      <c r="C6" s="261" t="s">
        <v>10</v>
      </c>
      <c r="D6" s="18">
        <v>394</v>
      </c>
      <c r="E6" s="110">
        <v>303.13</v>
      </c>
      <c r="F6" s="139">
        <f>+E6/D6</f>
        <v>0.7693654822335025</v>
      </c>
      <c r="G6" s="110">
        <v>67.8</v>
      </c>
      <c r="H6" s="138">
        <f>D6-(E6+G6)</f>
        <v>23.069999999999993</v>
      </c>
      <c r="I6" s="87"/>
    </row>
    <row r="7" spans="1:9" ht="24.75" customHeight="1">
      <c r="A7" s="7">
        <v>2</v>
      </c>
      <c r="B7" s="8" t="s">
        <v>4</v>
      </c>
      <c r="C7" s="262"/>
      <c r="D7" s="18">
        <v>0</v>
      </c>
      <c r="E7" s="110">
        <v>0</v>
      </c>
      <c r="F7" s="139" t="s">
        <v>108</v>
      </c>
      <c r="G7" s="110">
        <v>0</v>
      </c>
      <c r="H7" s="110">
        <v>0</v>
      </c>
      <c r="I7" s="87"/>
    </row>
    <row r="8" spans="1:9" ht="24.75" customHeight="1">
      <c r="A8" s="7">
        <v>3</v>
      </c>
      <c r="B8" s="8" t="s">
        <v>13</v>
      </c>
      <c r="C8" s="262"/>
      <c r="D8" s="18">
        <v>0</v>
      </c>
      <c r="E8" s="110">
        <v>0</v>
      </c>
      <c r="F8" s="139" t="s">
        <v>108</v>
      </c>
      <c r="G8" s="110">
        <v>0</v>
      </c>
      <c r="H8" s="110">
        <v>0</v>
      </c>
      <c r="I8" s="87"/>
    </row>
    <row r="9" spans="1:9" ht="24.75" customHeight="1">
      <c r="A9" s="7">
        <v>4</v>
      </c>
      <c r="B9" s="8" t="s">
        <v>14</v>
      </c>
      <c r="C9" s="263"/>
      <c r="D9" s="18">
        <v>25</v>
      </c>
      <c r="E9" s="110">
        <v>0</v>
      </c>
      <c r="F9" s="139" t="s">
        <v>108</v>
      </c>
      <c r="G9" s="110">
        <v>0</v>
      </c>
      <c r="H9" s="138">
        <f>D9-(E9+G9)</f>
        <v>25</v>
      </c>
      <c r="I9" s="87" t="s">
        <v>138</v>
      </c>
    </row>
    <row r="10" spans="1:9" s="6" customFormat="1" ht="24.75" customHeight="1">
      <c r="A10" s="12"/>
      <c r="B10" s="11" t="s">
        <v>8</v>
      </c>
      <c r="C10" s="11"/>
      <c r="D10" s="19">
        <f>SUM(D6:D9)</f>
        <v>419</v>
      </c>
      <c r="E10" s="19">
        <f>SUM(E6:E9)</f>
        <v>303.13</v>
      </c>
      <c r="F10" s="100">
        <f>+E10/D10</f>
        <v>0.7234606205250597</v>
      </c>
      <c r="G10" s="111">
        <f>SUM(G6:G9)</f>
        <v>67.8</v>
      </c>
      <c r="H10" s="111">
        <f>SUM(H6:H9)</f>
        <v>48.06999999999999</v>
      </c>
      <c r="I10" s="13"/>
    </row>
    <row r="11" spans="1:9" ht="24.75" customHeight="1">
      <c r="A11" s="7">
        <v>5</v>
      </c>
      <c r="B11" s="109" t="s">
        <v>129</v>
      </c>
      <c r="C11" s="261">
        <v>3</v>
      </c>
      <c r="D11" s="18">
        <v>55</v>
      </c>
      <c r="E11" s="110">
        <v>8.94</v>
      </c>
      <c r="F11" s="139">
        <f>+E11/D11</f>
        <v>0.16254545454545455</v>
      </c>
      <c r="G11" s="92">
        <v>8.3</v>
      </c>
      <c r="H11" s="138">
        <f>D11-(E11+G11)</f>
        <v>37.76</v>
      </c>
      <c r="I11" s="9"/>
    </row>
    <row r="12" spans="1:9" ht="24.75" customHeight="1">
      <c r="A12" s="7">
        <v>6</v>
      </c>
      <c r="B12" s="8" t="s">
        <v>11</v>
      </c>
      <c r="C12" s="262"/>
      <c r="D12" s="18">
        <v>31.5</v>
      </c>
      <c r="E12" s="110">
        <v>5.11</v>
      </c>
      <c r="F12" s="139">
        <f>+E12/D12</f>
        <v>0.16222222222222224</v>
      </c>
      <c r="G12" s="92">
        <v>19.75</v>
      </c>
      <c r="H12" s="140">
        <f>D12-(E12+G12)</f>
        <v>6.640000000000001</v>
      </c>
      <c r="I12" s="9"/>
    </row>
    <row r="13" spans="1:9" ht="24.75" customHeight="1">
      <c r="A13" s="7">
        <v>7</v>
      </c>
      <c r="B13" s="8" t="s">
        <v>12</v>
      </c>
      <c r="C13" s="263"/>
      <c r="D13" s="18">
        <v>9.5</v>
      </c>
      <c r="E13" s="110">
        <v>1.2</v>
      </c>
      <c r="F13" s="139">
        <f>+E13/D13</f>
        <v>0.12631578947368421</v>
      </c>
      <c r="G13" s="92">
        <v>1.5</v>
      </c>
      <c r="H13" s="138">
        <f>D13-(E13+G13)</f>
        <v>6.8</v>
      </c>
      <c r="I13" s="9"/>
    </row>
    <row r="14" spans="1:9" s="6" customFormat="1" ht="24.75" customHeight="1">
      <c r="A14" s="12"/>
      <c r="B14" s="11" t="s">
        <v>8</v>
      </c>
      <c r="C14" s="11"/>
      <c r="D14" s="19">
        <f>SUM(D11:D13)</f>
        <v>96</v>
      </c>
      <c r="E14" s="19">
        <f>SUM(E11:E13)</f>
        <v>15.25</v>
      </c>
      <c r="F14" s="100">
        <f>+E14/D14</f>
        <v>0.15885416666666666</v>
      </c>
      <c r="G14" s="111">
        <f>SUM(G11:G13)</f>
        <v>29.55</v>
      </c>
      <c r="H14" s="111">
        <f>SUM(H11:H13)</f>
        <v>51.199999999999996</v>
      </c>
      <c r="I14" s="13"/>
    </row>
    <row r="15" spans="1:9" ht="24.75" customHeight="1">
      <c r="A15" s="7"/>
      <c r="B15" s="8"/>
      <c r="C15" s="8"/>
      <c r="D15" s="18"/>
      <c r="E15" s="18"/>
      <c r="F15" s="139"/>
      <c r="G15" s="110"/>
      <c r="H15" s="110"/>
      <c r="I15" s="9"/>
    </row>
    <row r="16" spans="1:9" s="6" customFormat="1" ht="24.75" customHeight="1">
      <c r="A16" s="12"/>
      <c r="B16" s="11" t="s">
        <v>5</v>
      </c>
      <c r="C16" s="11"/>
      <c r="D16" s="19">
        <f>+D14+D10</f>
        <v>515</v>
      </c>
      <c r="E16" s="19">
        <f>+E14+E10</f>
        <v>318.38</v>
      </c>
      <c r="F16" s="100">
        <f>+E16/D16</f>
        <v>0.6182135922330096</v>
      </c>
      <c r="G16" s="111">
        <f>+G14+G10</f>
        <v>97.35</v>
      </c>
      <c r="H16" s="111">
        <f>+H14+H10</f>
        <v>99.26999999999998</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19.xml><?xml version="1.0" encoding="utf-8"?>
<worksheet xmlns="http://schemas.openxmlformats.org/spreadsheetml/2006/main" xmlns:r="http://schemas.openxmlformats.org/officeDocument/2006/relationships">
  <sheetPr>
    <tabColor rgb="FF00B050"/>
  </sheetPr>
  <dimension ref="A1:I26"/>
  <sheetViews>
    <sheetView zoomScalePageLayoutView="0" workbookViewId="0" topLeftCell="A4">
      <selection activeCell="C6" sqref="C6:C11"/>
    </sheetView>
  </sheetViews>
  <sheetFormatPr defaultColWidth="9.140625" defaultRowHeight="15"/>
  <cols>
    <col min="1" max="1" width="4.7109375" style="3" customWidth="1"/>
    <col min="2" max="2" width="40.57421875" style="1" customWidth="1"/>
    <col min="3" max="3" width="6.7109375" style="1" customWidth="1"/>
    <col min="4" max="4" width="11.140625" style="16" customWidth="1"/>
    <col min="5" max="5" width="13.28125" style="16" customWidth="1"/>
    <col min="6" max="6" width="7.8515625" style="36" customWidth="1"/>
    <col min="7" max="7" width="12.57421875" style="3" customWidth="1"/>
    <col min="8" max="8" width="13.00390625" style="3" customWidth="1"/>
    <col min="9" max="9" width="35.8515625" style="4" customWidth="1"/>
    <col min="10" max="16384" width="9.140625" style="4" customWidth="1"/>
  </cols>
  <sheetData>
    <row r="1" ht="15">
      <c r="I1" s="15" t="s">
        <v>18</v>
      </c>
    </row>
    <row r="2" spans="1:9" ht="20.25" customHeight="1">
      <c r="A2" s="260" t="s">
        <v>16</v>
      </c>
      <c r="B2" s="260"/>
      <c r="C2" s="260"/>
      <c r="D2" s="260"/>
      <c r="E2" s="260"/>
      <c r="F2" s="260"/>
      <c r="G2" s="260"/>
      <c r="H2" s="260"/>
      <c r="I2" s="260"/>
    </row>
    <row r="3" spans="1:9" ht="18.75" customHeight="1">
      <c r="A3" s="260" t="s">
        <v>17</v>
      </c>
      <c r="B3" s="260"/>
      <c r="C3" s="260"/>
      <c r="D3" s="260"/>
      <c r="E3" s="260"/>
      <c r="F3" s="260"/>
      <c r="G3" s="260"/>
      <c r="H3" s="260"/>
      <c r="I3" s="260"/>
    </row>
    <row r="4" spans="1:9" ht="15">
      <c r="A4" s="14" t="s">
        <v>29</v>
      </c>
      <c r="I4" s="5" t="s">
        <v>7</v>
      </c>
    </row>
    <row r="5" spans="1:9" s="2" customFormat="1" ht="76.5">
      <c r="A5" s="10"/>
      <c r="B5" s="11" t="s">
        <v>0</v>
      </c>
      <c r="C5" s="10" t="s">
        <v>9</v>
      </c>
      <c r="D5" s="211" t="s">
        <v>144</v>
      </c>
      <c r="E5" s="17" t="s">
        <v>6</v>
      </c>
      <c r="F5" s="37" t="s">
        <v>1</v>
      </c>
      <c r="G5" s="17" t="s">
        <v>38</v>
      </c>
      <c r="H5" s="10" t="s">
        <v>39</v>
      </c>
      <c r="I5" s="10" t="s">
        <v>40</v>
      </c>
    </row>
    <row r="6" spans="1:9" ht="24.75" customHeight="1">
      <c r="A6" s="7">
        <v>1</v>
      </c>
      <c r="B6" s="8" t="s">
        <v>3</v>
      </c>
      <c r="C6" s="261" t="s">
        <v>10</v>
      </c>
      <c r="D6" s="18">
        <f>387-30</f>
        <v>357</v>
      </c>
      <c r="E6" s="18">
        <v>218.49</v>
      </c>
      <c r="F6" s="116">
        <f>+E6/D6</f>
        <v>0.6120168067226891</v>
      </c>
      <c r="G6" s="115">
        <v>40</v>
      </c>
      <c r="H6" s="115">
        <v>55</v>
      </c>
      <c r="I6" s="117" t="s">
        <v>98</v>
      </c>
    </row>
    <row r="7" spans="1:9" ht="37.5" customHeight="1">
      <c r="A7" s="268">
        <v>2</v>
      </c>
      <c r="B7" s="269" t="s">
        <v>4</v>
      </c>
      <c r="C7" s="262"/>
      <c r="D7" s="270">
        <v>330</v>
      </c>
      <c r="E7" s="270">
        <v>21.52</v>
      </c>
      <c r="F7" s="271">
        <f aca="true" t="shared" si="0" ref="F7:F15">+E7/D7</f>
        <v>0.06521212121212121</v>
      </c>
      <c r="G7" s="270">
        <v>100</v>
      </c>
      <c r="H7" s="270">
        <v>208.48</v>
      </c>
      <c r="I7" s="117" t="s">
        <v>164</v>
      </c>
    </row>
    <row r="8" spans="1:9" s="83" customFormat="1" ht="51" customHeight="1">
      <c r="A8" s="268"/>
      <c r="B8" s="269"/>
      <c r="C8" s="262"/>
      <c r="D8" s="270"/>
      <c r="E8" s="270"/>
      <c r="F8" s="271"/>
      <c r="G8" s="270"/>
      <c r="H8" s="270"/>
      <c r="I8" s="117" t="s">
        <v>140</v>
      </c>
    </row>
    <row r="9" spans="1:9" ht="24.75" customHeight="1">
      <c r="A9" s="7">
        <v>3</v>
      </c>
      <c r="B9" s="8" t="s">
        <v>13</v>
      </c>
      <c r="C9" s="262"/>
      <c r="D9" s="18">
        <v>0</v>
      </c>
      <c r="E9" s="18"/>
      <c r="F9" s="116"/>
      <c r="G9" s="115"/>
      <c r="H9" s="115"/>
      <c r="I9" s="117"/>
    </row>
    <row r="10" spans="1:9" ht="33.75" customHeight="1">
      <c r="A10" s="7">
        <v>4</v>
      </c>
      <c r="B10" s="8" t="s">
        <v>14</v>
      </c>
      <c r="C10" s="263"/>
      <c r="D10" s="18">
        <v>50</v>
      </c>
      <c r="E10" s="18"/>
      <c r="F10" s="116">
        <f t="shared" si="0"/>
        <v>0</v>
      </c>
      <c r="G10" s="115"/>
      <c r="H10" s="115">
        <v>20</v>
      </c>
      <c r="I10" s="117" t="s">
        <v>139</v>
      </c>
    </row>
    <row r="11" spans="1:9" s="6" customFormat="1" ht="24.75" customHeight="1">
      <c r="A11" s="12"/>
      <c r="B11" s="11" t="s">
        <v>8</v>
      </c>
      <c r="C11" s="11"/>
      <c r="D11" s="19">
        <f>SUM(D6:D10)</f>
        <v>737</v>
      </c>
      <c r="E11" s="111">
        <f>SUM(E6:E10)</f>
        <v>240.01000000000002</v>
      </c>
      <c r="F11" s="100">
        <f>+E11/D11</f>
        <v>0.3256580732700136</v>
      </c>
      <c r="G11" s="111">
        <f>SUM(G6:G10)</f>
        <v>140</v>
      </c>
      <c r="H11" s="111">
        <f>SUM(H6:H10)</f>
        <v>283.48</v>
      </c>
      <c r="I11" s="213"/>
    </row>
    <row r="12" spans="1:9" ht="50.25" customHeight="1">
      <c r="A12" s="7">
        <v>5</v>
      </c>
      <c r="B12" s="109" t="s">
        <v>129</v>
      </c>
      <c r="C12" s="261">
        <v>3</v>
      </c>
      <c r="D12" s="18">
        <v>85</v>
      </c>
      <c r="E12" s="18">
        <v>82.3</v>
      </c>
      <c r="F12" s="116">
        <f t="shared" si="0"/>
        <v>0.968235294117647</v>
      </c>
      <c r="G12" s="115">
        <v>2.4</v>
      </c>
      <c r="H12" s="115">
        <v>0</v>
      </c>
      <c r="I12" s="117" t="s">
        <v>100</v>
      </c>
    </row>
    <row r="13" spans="1:9" ht="26.25" customHeight="1">
      <c r="A13" s="268">
        <v>6</v>
      </c>
      <c r="B13" s="8" t="s">
        <v>101</v>
      </c>
      <c r="C13" s="262"/>
      <c r="D13" s="18">
        <v>60</v>
      </c>
      <c r="E13" s="18">
        <v>56.18</v>
      </c>
      <c r="F13" s="116">
        <f t="shared" si="0"/>
        <v>0.9363333333333334</v>
      </c>
      <c r="G13" s="115">
        <v>5.6</v>
      </c>
      <c r="H13" s="115">
        <v>0</v>
      </c>
      <c r="I13" s="212" t="s">
        <v>99</v>
      </c>
    </row>
    <row r="14" spans="1:9" s="83" customFormat="1" ht="35.25" customHeight="1">
      <c r="A14" s="268"/>
      <c r="B14" s="109" t="s">
        <v>102</v>
      </c>
      <c r="C14" s="262"/>
      <c r="D14" s="110">
        <v>230</v>
      </c>
      <c r="E14" s="110">
        <v>0</v>
      </c>
      <c r="F14" s="116">
        <f t="shared" si="0"/>
        <v>0</v>
      </c>
      <c r="G14" s="115">
        <v>230</v>
      </c>
      <c r="H14" s="115">
        <v>0</v>
      </c>
      <c r="I14" s="212" t="s">
        <v>103</v>
      </c>
    </row>
    <row r="15" spans="1:9" ht="24.75" customHeight="1">
      <c r="A15" s="7">
        <v>7</v>
      </c>
      <c r="B15" s="8" t="s">
        <v>12</v>
      </c>
      <c r="C15" s="263"/>
      <c r="D15" s="18">
        <v>35</v>
      </c>
      <c r="E15" s="18">
        <v>9.49</v>
      </c>
      <c r="F15" s="116">
        <f t="shared" si="0"/>
        <v>0.27114285714285713</v>
      </c>
      <c r="G15" s="115">
        <v>2</v>
      </c>
      <c r="H15" s="115">
        <v>13</v>
      </c>
      <c r="I15" s="9"/>
    </row>
    <row r="16" spans="1:9" s="6" customFormat="1" ht="24.75" customHeight="1">
      <c r="A16" s="12"/>
      <c r="B16" s="11" t="s">
        <v>8</v>
      </c>
      <c r="C16" s="11"/>
      <c r="D16" s="19">
        <f>SUM(D12:D15)</f>
        <v>410</v>
      </c>
      <c r="E16" s="111">
        <f>SUM(E12:E15)</f>
        <v>147.97</v>
      </c>
      <c r="F16" s="100">
        <f>+E16/D16</f>
        <v>0.36090243902439023</v>
      </c>
      <c r="G16" s="111">
        <f>SUM(G12:G15)</f>
        <v>240</v>
      </c>
      <c r="H16" s="111">
        <f>SUM(H12:H15)</f>
        <v>13</v>
      </c>
      <c r="I16" s="13"/>
    </row>
    <row r="17" spans="1:9" ht="17.25" customHeight="1">
      <c r="A17" s="7"/>
      <c r="B17" s="8"/>
      <c r="C17" s="8"/>
      <c r="D17" s="18"/>
      <c r="E17" s="110"/>
      <c r="F17" s="99"/>
      <c r="G17" s="110"/>
      <c r="H17" s="110"/>
      <c r="I17" s="9"/>
    </row>
    <row r="18" spans="1:9" s="6" customFormat="1" ht="22.5" customHeight="1">
      <c r="A18" s="12"/>
      <c r="B18" s="11" t="s">
        <v>5</v>
      </c>
      <c r="C18" s="11"/>
      <c r="D18" s="19">
        <f>+D16+D11</f>
        <v>1147</v>
      </c>
      <c r="E18" s="111">
        <f>+E16+E11</f>
        <v>387.98</v>
      </c>
      <c r="F18" s="100">
        <f>+E18/D18</f>
        <v>0.338256320836966</v>
      </c>
      <c r="G18" s="111">
        <f>+G16+G11</f>
        <v>380</v>
      </c>
      <c r="H18" s="111">
        <f>+H16+H11</f>
        <v>296.48</v>
      </c>
      <c r="I18" s="13"/>
    </row>
    <row r="19" ht="15">
      <c r="B19" s="1" t="s">
        <v>15</v>
      </c>
    </row>
    <row r="21" spans="4:9" ht="15">
      <c r="D21" s="16">
        <f>+D18-330</f>
        <v>817</v>
      </c>
      <c r="I21" s="4" t="s">
        <v>19</v>
      </c>
    </row>
    <row r="22" spans="4:9" ht="15">
      <c r="D22" s="16">
        <v>947</v>
      </c>
      <c r="I22" s="4" t="s">
        <v>20</v>
      </c>
    </row>
    <row r="23" ht="15">
      <c r="D23" s="16">
        <f>+D22+200</f>
        <v>1147</v>
      </c>
    </row>
    <row r="26" ht="15">
      <c r="D26" s="16">
        <f>817+330</f>
        <v>1147</v>
      </c>
    </row>
  </sheetData>
  <sheetProtection/>
  <mergeCells count="12">
    <mergeCell ref="A2:I2"/>
    <mergeCell ref="A3:I3"/>
    <mergeCell ref="C6:C10"/>
    <mergeCell ref="C12:C15"/>
    <mergeCell ref="A13:A14"/>
    <mergeCell ref="B7:B8"/>
    <mergeCell ref="A7:A8"/>
    <mergeCell ref="D7:D8"/>
    <mergeCell ref="E7:E8"/>
    <mergeCell ref="F7:F8"/>
    <mergeCell ref="G7:G8"/>
    <mergeCell ref="H7:H8"/>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2.xml><?xml version="1.0" encoding="utf-8"?>
<worksheet xmlns="http://schemas.openxmlformats.org/spreadsheetml/2006/main" xmlns:r="http://schemas.openxmlformats.org/officeDocument/2006/relationships">
  <sheetPr>
    <tabColor rgb="FFC00000"/>
  </sheetPr>
  <dimension ref="A1:Q26"/>
  <sheetViews>
    <sheetView zoomScalePageLayoutView="0" workbookViewId="0" topLeftCell="A1">
      <pane ySplit="5" topLeftCell="A9" activePane="bottomLeft" state="frozen"/>
      <selection pane="topLeft" activeCell="A1" sqref="A1"/>
      <selection pane="bottomLeft" activeCell="H13" sqref="H13"/>
    </sheetView>
  </sheetViews>
  <sheetFormatPr defaultColWidth="9.140625" defaultRowHeight="15"/>
  <cols>
    <col min="1" max="1" width="4.7109375" style="141" customWidth="1"/>
    <col min="2" max="2" width="11.00390625" style="142" customWidth="1"/>
    <col min="3" max="3" width="11.140625" style="143" customWidth="1"/>
    <col min="4" max="4" width="11.421875" style="143" customWidth="1"/>
    <col min="5" max="5" width="10.140625" style="144" customWidth="1"/>
    <col min="6" max="6" width="11.8515625" style="141" customWidth="1"/>
    <col min="7" max="7" width="10.140625" style="141" customWidth="1"/>
    <col min="8" max="8" width="11.57421875" style="141" customWidth="1"/>
    <col min="9" max="9" width="10.28125" style="141" customWidth="1"/>
    <col min="10" max="10" width="0.71875" style="146" hidden="1" customWidth="1"/>
    <col min="11" max="11" width="1.57421875" style="146" hidden="1" customWidth="1"/>
    <col min="12" max="12" width="7.57421875" style="146" hidden="1" customWidth="1"/>
    <col min="13" max="16384" width="9.140625" style="146" customWidth="1"/>
  </cols>
  <sheetData>
    <row r="1" ht="12.75">
      <c r="I1" s="145" t="s">
        <v>18</v>
      </c>
    </row>
    <row r="2" spans="1:10" ht="24.75" customHeight="1">
      <c r="A2" s="252" t="s">
        <v>16</v>
      </c>
      <c r="B2" s="252"/>
      <c r="C2" s="252"/>
      <c r="D2" s="252"/>
      <c r="E2" s="252"/>
      <c r="F2" s="252"/>
      <c r="G2" s="252"/>
      <c r="H2" s="252"/>
      <c r="I2" s="252"/>
      <c r="J2" s="252"/>
    </row>
    <row r="3" spans="1:10" ht="24.75" customHeight="1">
      <c r="A3" s="252" t="s">
        <v>17</v>
      </c>
      <c r="B3" s="252"/>
      <c r="C3" s="252"/>
      <c r="D3" s="252"/>
      <c r="E3" s="252"/>
      <c r="F3" s="252"/>
      <c r="G3" s="252"/>
      <c r="H3" s="252"/>
      <c r="I3" s="252"/>
      <c r="J3" s="252"/>
    </row>
    <row r="4" spans="1:9" ht="14.25">
      <c r="A4" s="78" t="s">
        <v>46</v>
      </c>
      <c r="I4" s="147" t="s">
        <v>7</v>
      </c>
    </row>
    <row r="5" spans="1:10" s="150" customFormat="1" ht="75" customHeight="1">
      <c r="A5" s="148"/>
      <c r="B5" s="148" t="s">
        <v>109</v>
      </c>
      <c r="C5" s="148" t="s">
        <v>22</v>
      </c>
      <c r="D5" s="148" t="s">
        <v>6</v>
      </c>
      <c r="E5" s="149" t="s">
        <v>107</v>
      </c>
      <c r="F5" s="148" t="s">
        <v>38</v>
      </c>
      <c r="G5" s="148" t="s">
        <v>105</v>
      </c>
      <c r="H5" s="148" t="s">
        <v>39</v>
      </c>
      <c r="I5" s="148" t="s">
        <v>106</v>
      </c>
      <c r="J5" s="148" t="s">
        <v>40</v>
      </c>
    </row>
    <row r="6" spans="1:12" ht="24.75" customHeight="1">
      <c r="A6" s="151">
        <v>1</v>
      </c>
      <c r="B6" s="152" t="s">
        <v>47</v>
      </c>
      <c r="C6" s="153">
        <v>1263</v>
      </c>
      <c r="D6" s="153">
        <v>630.0799999999999</v>
      </c>
      <c r="E6" s="167">
        <f>D6/C6*100</f>
        <v>49.88756927949326</v>
      </c>
      <c r="F6" s="153">
        <v>158.06</v>
      </c>
      <c r="G6" s="168">
        <f>(D6+F6)/C6*100</f>
        <v>62.40221694378463</v>
      </c>
      <c r="H6" s="153">
        <v>424.16999999999996</v>
      </c>
      <c r="I6" s="170">
        <f>(D6+F6+H6)/C6*100</f>
        <v>95.9865399841647</v>
      </c>
      <c r="J6" s="152"/>
      <c r="L6" s="154">
        <f>+C6-D6-F6-H6</f>
        <v>50.69000000000011</v>
      </c>
    </row>
    <row r="7" spans="1:17" ht="24.75" customHeight="1">
      <c r="A7" s="155">
        <v>2</v>
      </c>
      <c r="B7" s="22" t="s">
        <v>69</v>
      </c>
      <c r="C7" s="39">
        <v>787</v>
      </c>
      <c r="D7" s="39">
        <v>303.01</v>
      </c>
      <c r="E7" s="167">
        <f aca="true" t="shared" si="0" ref="E7:E25">D7/C7*100</f>
        <v>38.50190597204574</v>
      </c>
      <c r="F7" s="39">
        <v>142.95</v>
      </c>
      <c r="G7" s="169">
        <f>(D7+F7)/C7*100</f>
        <v>56.66581956797967</v>
      </c>
      <c r="H7" s="39">
        <v>341.03999999999996</v>
      </c>
      <c r="I7" s="169">
        <f>(D7+F7+H7)/C7*100</f>
        <v>100</v>
      </c>
      <c r="J7" s="22"/>
      <c r="L7" s="154">
        <f>+C7-D7-F7-H7</f>
        <v>0</v>
      </c>
      <c r="Q7" s="154">
        <f>D7+F7</f>
        <v>445.96</v>
      </c>
    </row>
    <row r="8" spans="1:17" ht="24.75" customHeight="1">
      <c r="A8" s="155">
        <v>3</v>
      </c>
      <c r="B8" s="156" t="s">
        <v>49</v>
      </c>
      <c r="C8" s="39">
        <v>2621</v>
      </c>
      <c r="D8" s="39">
        <v>817</v>
      </c>
      <c r="E8" s="167">
        <f t="shared" si="0"/>
        <v>31.171308660816482</v>
      </c>
      <c r="F8" s="39">
        <v>247</v>
      </c>
      <c r="G8" s="169">
        <f aca="true" t="shared" si="1" ref="G8:G25">(D8+F8)/C8*100</f>
        <v>40.5951926745517</v>
      </c>
      <c r="H8" s="39">
        <v>1357</v>
      </c>
      <c r="I8" s="169">
        <f aca="true" t="shared" si="2" ref="I8:I25">(D8+F8+H8)/C8*100</f>
        <v>92.36932468523464</v>
      </c>
      <c r="J8" s="156"/>
      <c r="L8" s="154">
        <f>+C8-D8-F8-H8</f>
        <v>200</v>
      </c>
      <c r="Q8" s="146">
        <f>Q7/C7</f>
        <v>0.5666581956797967</v>
      </c>
    </row>
    <row r="9" spans="1:17" ht="24.75" customHeight="1">
      <c r="A9" s="155">
        <v>4</v>
      </c>
      <c r="B9" s="156" t="s">
        <v>50</v>
      </c>
      <c r="C9" s="39">
        <v>1251</v>
      </c>
      <c r="D9" s="39">
        <v>302.44</v>
      </c>
      <c r="E9" s="167">
        <f t="shared" si="0"/>
        <v>24.17585931254996</v>
      </c>
      <c r="F9" s="39">
        <v>200.59</v>
      </c>
      <c r="G9" s="169">
        <f t="shared" si="1"/>
        <v>40.21023181454836</v>
      </c>
      <c r="H9" s="39">
        <v>352.03999999999996</v>
      </c>
      <c r="I9" s="169">
        <f t="shared" si="2"/>
        <v>68.35091926458833</v>
      </c>
      <c r="J9" s="156"/>
      <c r="L9" s="154">
        <f aca="true" t="shared" si="3" ref="L9:L26">+C9-D9-F9-H9</f>
        <v>395.92999999999995</v>
      </c>
      <c r="Q9" s="146">
        <f>Q8*100</f>
        <v>56.66581956797967</v>
      </c>
    </row>
    <row r="10" spans="1:12" s="157" customFormat="1" ht="24.75" customHeight="1">
      <c r="A10" s="155">
        <v>5</v>
      </c>
      <c r="B10" s="156" t="s">
        <v>51</v>
      </c>
      <c r="C10" s="39">
        <v>1545</v>
      </c>
      <c r="D10" s="39">
        <v>816.03</v>
      </c>
      <c r="E10" s="167">
        <f t="shared" si="0"/>
        <v>52.81747572815534</v>
      </c>
      <c r="F10" s="39">
        <v>313</v>
      </c>
      <c r="G10" s="169">
        <f t="shared" si="1"/>
        <v>73.07637540453075</v>
      </c>
      <c r="H10" s="39">
        <v>310.41999999999996</v>
      </c>
      <c r="I10" s="169">
        <f t="shared" si="2"/>
        <v>93.16828478964399</v>
      </c>
      <c r="J10" s="156"/>
      <c r="L10" s="154">
        <f t="shared" si="3"/>
        <v>105.55000000000007</v>
      </c>
    </row>
    <row r="11" spans="1:17" ht="24.75" customHeight="1">
      <c r="A11" s="155">
        <v>6</v>
      </c>
      <c r="B11" s="158" t="s">
        <v>70</v>
      </c>
      <c r="C11" s="39">
        <v>2417</v>
      </c>
      <c r="D11" s="39">
        <v>851.2</v>
      </c>
      <c r="E11" s="167">
        <f t="shared" si="0"/>
        <v>35.217211419114605</v>
      </c>
      <c r="F11" s="39">
        <v>107.1</v>
      </c>
      <c r="G11" s="169">
        <f t="shared" si="1"/>
        <v>39.648324369052546</v>
      </c>
      <c r="H11" s="39">
        <v>1450.1999999999998</v>
      </c>
      <c r="I11" s="169">
        <f t="shared" si="2"/>
        <v>99.64832436905255</v>
      </c>
      <c r="J11" s="158"/>
      <c r="L11" s="154">
        <f t="shared" si="3"/>
        <v>8.500000000000227</v>
      </c>
      <c r="Q11" s="157"/>
    </row>
    <row r="12" spans="1:17" ht="24.75" customHeight="1">
      <c r="A12" s="155">
        <v>7</v>
      </c>
      <c r="B12" s="156" t="s">
        <v>53</v>
      </c>
      <c r="C12" s="39">
        <v>1409</v>
      </c>
      <c r="D12" s="39">
        <v>593.36</v>
      </c>
      <c r="E12" s="167">
        <f t="shared" si="0"/>
        <v>42.11213626685593</v>
      </c>
      <c r="F12" s="39">
        <v>636.71</v>
      </c>
      <c r="G12" s="169">
        <f t="shared" si="1"/>
        <v>87.30092264017034</v>
      </c>
      <c r="H12" s="39">
        <v>180</v>
      </c>
      <c r="I12" s="169">
        <f>(D12+F12+H12)/C12*100</f>
        <v>100.07594038325054</v>
      </c>
      <c r="J12" s="156"/>
      <c r="L12" s="154">
        <f t="shared" si="3"/>
        <v>-1.07000000000005</v>
      </c>
      <c r="Q12" s="157"/>
    </row>
    <row r="13" spans="1:17" ht="24.75" customHeight="1">
      <c r="A13" s="155"/>
      <c r="B13" s="156" t="s">
        <v>123</v>
      </c>
      <c r="C13" s="39">
        <v>230</v>
      </c>
      <c r="D13" s="39">
        <v>88</v>
      </c>
      <c r="E13" s="167">
        <f t="shared" si="0"/>
        <v>38.26086956521739</v>
      </c>
      <c r="F13" s="39"/>
      <c r="G13" s="199">
        <f>(D13+F13)/C13*100</f>
        <v>38.26086956521739</v>
      </c>
      <c r="H13" s="39"/>
      <c r="I13" s="169">
        <f>(D13+F13+H13)/C13*100</f>
        <v>38.26086956521739</v>
      </c>
      <c r="J13" s="156"/>
      <c r="L13" s="154"/>
      <c r="Q13" s="157"/>
    </row>
    <row r="14" spans="1:12" ht="24.75" customHeight="1">
      <c r="A14" s="155">
        <v>8</v>
      </c>
      <c r="B14" s="156" t="s">
        <v>54</v>
      </c>
      <c r="C14" s="39">
        <v>753</v>
      </c>
      <c r="D14" s="39">
        <v>436.3</v>
      </c>
      <c r="E14" s="167">
        <f t="shared" si="0"/>
        <v>57.94156706507304</v>
      </c>
      <c r="F14" s="39">
        <v>34</v>
      </c>
      <c r="G14" s="169">
        <f t="shared" si="1"/>
        <v>62.45683930942896</v>
      </c>
      <c r="H14" s="39">
        <v>51.2</v>
      </c>
      <c r="I14" s="169">
        <f t="shared" si="2"/>
        <v>69.25630810092962</v>
      </c>
      <c r="J14" s="156"/>
      <c r="L14" s="154">
        <f t="shared" si="3"/>
        <v>231.5</v>
      </c>
    </row>
    <row r="15" spans="1:12" s="157" customFormat="1" ht="24.75" customHeight="1">
      <c r="A15" s="155">
        <v>9</v>
      </c>
      <c r="B15" s="156" t="s">
        <v>55</v>
      </c>
      <c r="C15" s="39">
        <v>1147</v>
      </c>
      <c r="D15" s="39">
        <v>387.98</v>
      </c>
      <c r="E15" s="167">
        <f t="shared" si="0"/>
        <v>33.8256320836966</v>
      </c>
      <c r="F15" s="39">
        <v>380</v>
      </c>
      <c r="G15" s="169">
        <f t="shared" si="1"/>
        <v>66.95553618134264</v>
      </c>
      <c r="H15" s="39">
        <v>296</v>
      </c>
      <c r="I15" s="169">
        <f t="shared" si="2"/>
        <v>92.76198779424585</v>
      </c>
      <c r="J15" s="156"/>
      <c r="L15" s="154">
        <f t="shared" si="3"/>
        <v>83.01999999999998</v>
      </c>
    </row>
    <row r="16" spans="1:12" ht="24.75" customHeight="1">
      <c r="A16" s="155">
        <v>10</v>
      </c>
      <c r="B16" s="156" t="s">
        <v>56</v>
      </c>
      <c r="C16" s="39">
        <v>870</v>
      </c>
      <c r="D16" s="39">
        <v>106.25999999999999</v>
      </c>
      <c r="E16" s="167">
        <f t="shared" si="0"/>
        <v>12.213793103448275</v>
      </c>
      <c r="F16" s="39">
        <v>266.91</v>
      </c>
      <c r="G16" s="169">
        <f t="shared" si="1"/>
        <v>42.893103448275866</v>
      </c>
      <c r="H16" s="39">
        <v>205.99</v>
      </c>
      <c r="I16" s="169">
        <f t="shared" si="2"/>
        <v>66.57011494252875</v>
      </c>
      <c r="J16" s="156"/>
      <c r="L16" s="154">
        <f t="shared" si="3"/>
        <v>290.84</v>
      </c>
    </row>
    <row r="17" spans="1:12" s="157" customFormat="1" ht="24.75" customHeight="1">
      <c r="A17" s="155">
        <v>11</v>
      </c>
      <c r="B17" s="156" t="s">
        <v>57</v>
      </c>
      <c r="C17" s="39">
        <v>702</v>
      </c>
      <c r="D17" s="39">
        <v>165.51</v>
      </c>
      <c r="E17" s="167">
        <f t="shared" si="0"/>
        <v>23.576923076923077</v>
      </c>
      <c r="F17" s="39">
        <v>348.8</v>
      </c>
      <c r="G17" s="169">
        <f t="shared" si="1"/>
        <v>73.26353276353275</v>
      </c>
      <c r="H17" s="39">
        <v>187.69</v>
      </c>
      <c r="I17" s="169">
        <f t="shared" si="2"/>
        <v>100</v>
      </c>
      <c r="J17" s="156"/>
      <c r="L17" s="154">
        <f t="shared" si="3"/>
        <v>0</v>
      </c>
    </row>
    <row r="18" spans="1:12" ht="24.75" customHeight="1">
      <c r="A18" s="155">
        <v>12</v>
      </c>
      <c r="B18" s="156" t="s">
        <v>58</v>
      </c>
      <c r="C18" s="39">
        <v>1416</v>
      </c>
      <c r="D18" s="39">
        <v>404.68</v>
      </c>
      <c r="E18" s="167">
        <f t="shared" si="0"/>
        <v>28.579096045197737</v>
      </c>
      <c r="F18" s="39">
        <v>180.1</v>
      </c>
      <c r="G18" s="169">
        <f t="shared" si="1"/>
        <v>41.298022598870055</v>
      </c>
      <c r="H18" s="39">
        <v>419.33</v>
      </c>
      <c r="I18" s="169">
        <f t="shared" si="2"/>
        <v>70.9117231638418</v>
      </c>
      <c r="J18" s="156"/>
      <c r="L18" s="154">
        <f t="shared" si="3"/>
        <v>411.88999999999993</v>
      </c>
    </row>
    <row r="19" spans="1:12" ht="24.75" customHeight="1">
      <c r="A19" s="155">
        <v>13</v>
      </c>
      <c r="B19" s="156" t="s">
        <v>59</v>
      </c>
      <c r="C19" s="39">
        <v>421</v>
      </c>
      <c r="D19" s="39">
        <v>182.63</v>
      </c>
      <c r="E19" s="167">
        <f t="shared" si="0"/>
        <v>43.38004750593824</v>
      </c>
      <c r="F19" s="39">
        <v>112</v>
      </c>
      <c r="G19" s="169">
        <f t="shared" si="1"/>
        <v>69.9833729216152</v>
      </c>
      <c r="H19" s="39">
        <v>125.97</v>
      </c>
      <c r="I19" s="169">
        <f t="shared" si="2"/>
        <v>99.90498812351545</v>
      </c>
      <c r="J19" s="156"/>
      <c r="L19" s="154">
        <f t="shared" si="3"/>
        <v>0.4000000000000057</v>
      </c>
    </row>
    <row r="20" spans="1:12" ht="24.75" customHeight="1">
      <c r="A20" s="155">
        <v>14</v>
      </c>
      <c r="B20" s="156" t="s">
        <v>60</v>
      </c>
      <c r="C20" s="39">
        <v>825</v>
      </c>
      <c r="D20" s="39">
        <v>160.57999999999998</v>
      </c>
      <c r="E20" s="167">
        <f t="shared" si="0"/>
        <v>19.46424242424242</v>
      </c>
      <c r="F20" s="39">
        <v>134.796</v>
      </c>
      <c r="G20" s="169">
        <f t="shared" si="1"/>
        <v>35.80315151515151</v>
      </c>
      <c r="H20" s="39">
        <v>186.05599999999998</v>
      </c>
      <c r="I20" s="169">
        <f t="shared" si="2"/>
        <v>58.35539393939393</v>
      </c>
      <c r="J20" s="156"/>
      <c r="L20" s="154">
        <f t="shared" si="3"/>
        <v>343.56800000000004</v>
      </c>
    </row>
    <row r="21" spans="1:14" ht="24.75" customHeight="1">
      <c r="A21" s="155">
        <v>15</v>
      </c>
      <c r="B21" s="156" t="s">
        <v>61</v>
      </c>
      <c r="C21" s="39">
        <v>515</v>
      </c>
      <c r="D21" s="39">
        <v>318.38</v>
      </c>
      <c r="E21" s="167">
        <f t="shared" si="0"/>
        <v>61.821359223300966</v>
      </c>
      <c r="F21" s="39">
        <v>97.35</v>
      </c>
      <c r="G21" s="169">
        <f t="shared" si="1"/>
        <v>80.7242718446602</v>
      </c>
      <c r="H21" s="39">
        <v>99.27000000000001</v>
      </c>
      <c r="I21" s="169">
        <f t="shared" si="2"/>
        <v>100</v>
      </c>
      <c r="J21" s="156"/>
      <c r="L21" s="154">
        <f t="shared" si="3"/>
        <v>0</v>
      </c>
      <c r="N21" s="159"/>
    </row>
    <row r="22" spans="1:14" ht="51" customHeight="1">
      <c r="A22" s="155">
        <v>17</v>
      </c>
      <c r="B22" s="194" t="s">
        <v>121</v>
      </c>
      <c r="C22" s="39">
        <v>73</v>
      </c>
      <c r="D22" s="39">
        <v>43</v>
      </c>
      <c r="E22" s="167">
        <f t="shared" si="0"/>
        <v>58.9041095890411</v>
      </c>
      <c r="F22" s="39"/>
      <c r="G22" s="169">
        <f t="shared" si="1"/>
        <v>58.9041095890411</v>
      </c>
      <c r="H22" s="39"/>
      <c r="I22" s="169">
        <f t="shared" si="2"/>
        <v>58.9041095890411</v>
      </c>
      <c r="J22" s="156"/>
      <c r="L22" s="154"/>
      <c r="N22" s="198"/>
    </row>
    <row r="23" spans="1:14" ht="51" customHeight="1">
      <c r="A23" s="155">
        <v>18</v>
      </c>
      <c r="B23" s="194" t="s">
        <v>122</v>
      </c>
      <c r="C23" s="39">
        <v>730</v>
      </c>
      <c r="D23" s="39">
        <v>321</v>
      </c>
      <c r="E23" s="167">
        <f t="shared" si="0"/>
        <v>43.97260273972603</v>
      </c>
      <c r="F23" s="39"/>
      <c r="G23" s="169">
        <f t="shared" si="1"/>
        <v>43.97260273972603</v>
      </c>
      <c r="H23" s="39"/>
      <c r="I23" s="169">
        <f t="shared" si="2"/>
        <v>43.97260273972603</v>
      </c>
      <c r="J23" s="156"/>
      <c r="L23" s="154"/>
      <c r="N23" s="198"/>
    </row>
    <row r="24" spans="1:14" ht="24.75" customHeight="1">
      <c r="A24" s="155">
        <v>19</v>
      </c>
      <c r="B24" s="193" t="s">
        <v>62</v>
      </c>
      <c r="C24" s="39">
        <v>435</v>
      </c>
      <c r="D24" s="39">
        <v>74</v>
      </c>
      <c r="E24" s="167">
        <f t="shared" si="0"/>
        <v>17.011494252873565</v>
      </c>
      <c r="F24" s="39">
        <v>168</v>
      </c>
      <c r="G24" s="169">
        <f t="shared" si="1"/>
        <v>55.632183908045974</v>
      </c>
      <c r="H24" s="39">
        <v>146</v>
      </c>
      <c r="I24" s="169">
        <f t="shared" si="2"/>
        <v>89.19540229885058</v>
      </c>
      <c r="J24" s="156"/>
      <c r="L24" s="154"/>
      <c r="N24" s="198"/>
    </row>
    <row r="25" spans="1:14" ht="24.75" customHeight="1">
      <c r="A25" s="155">
        <v>20</v>
      </c>
      <c r="B25" s="193" t="s">
        <v>120</v>
      </c>
      <c r="C25" s="39">
        <v>1232</v>
      </c>
      <c r="D25" s="39">
        <v>160</v>
      </c>
      <c r="E25" s="167">
        <f t="shared" si="0"/>
        <v>12.987012987012985</v>
      </c>
      <c r="F25" s="39"/>
      <c r="G25" s="169">
        <f t="shared" si="1"/>
        <v>12.987012987012985</v>
      </c>
      <c r="H25" s="39"/>
      <c r="I25" s="169">
        <f t="shared" si="2"/>
        <v>12.987012987012985</v>
      </c>
      <c r="J25" s="156"/>
      <c r="L25" s="154"/>
      <c r="N25" s="198"/>
    </row>
    <row r="26" spans="1:12" s="157" customFormat="1" ht="24.75" customHeight="1">
      <c r="A26" s="258" t="s">
        <v>5</v>
      </c>
      <c r="B26" s="259"/>
      <c r="C26" s="172">
        <f>SUM(C6:C25)</f>
        <v>20642</v>
      </c>
      <c r="D26" s="172">
        <f>SUM(D6:D25)</f>
        <v>7161.4400000000005</v>
      </c>
      <c r="E26" s="164">
        <f>D26/C26*100</f>
        <v>34.69353744792171</v>
      </c>
      <c r="F26" s="172">
        <f>SUM(F6:F25)</f>
        <v>3527.3659999999995</v>
      </c>
      <c r="G26" s="163">
        <f>(D26+F26)/C26*100</f>
        <v>51.781833155701975</v>
      </c>
      <c r="H26" s="172">
        <f>SUM(H6:H25)</f>
        <v>6132.375999999999</v>
      </c>
      <c r="I26" s="165">
        <f>(D26+F26+H26)/C26*100</f>
        <v>81.49007848076737</v>
      </c>
      <c r="J26" s="166"/>
      <c r="L26" s="154">
        <f t="shared" si="3"/>
        <v>3820.818</v>
      </c>
    </row>
  </sheetData>
  <sheetProtection/>
  <mergeCells count="3">
    <mergeCell ref="A2:J2"/>
    <mergeCell ref="A3:J3"/>
    <mergeCell ref="A26:B26"/>
  </mergeCells>
  <printOptions/>
  <pageMargins left="0.62" right="0.18" top="0.66" bottom="0.75" header="0.3" footer="0.3"/>
  <pageSetup orientation="portrait" paperSize="9" scale="95" r:id="rId1"/>
  <headerFooter>
    <oddFooter>&amp;L&amp;8&amp;F&amp;A&amp;R&amp;8&amp;D&amp;T</oddFooter>
  </headerFooter>
</worksheet>
</file>

<file path=xl/worksheets/sheet20.xml><?xml version="1.0" encoding="utf-8"?>
<worksheet xmlns="http://schemas.openxmlformats.org/spreadsheetml/2006/main" xmlns:r="http://schemas.openxmlformats.org/officeDocument/2006/relationships">
  <sheetPr>
    <tabColor rgb="FF00B050"/>
  </sheetPr>
  <dimension ref="A1:J20"/>
  <sheetViews>
    <sheetView zoomScalePageLayoutView="0" workbookViewId="0" topLeftCell="A1">
      <selection activeCell="C6" sqref="C6:C11"/>
    </sheetView>
  </sheetViews>
  <sheetFormatPr defaultColWidth="9.140625" defaultRowHeight="15"/>
  <cols>
    <col min="1" max="1" width="4.7109375" style="3" customWidth="1"/>
    <col min="2" max="2" width="41.8515625" style="1" customWidth="1"/>
    <col min="3" max="3" width="6.7109375" style="1" customWidth="1"/>
    <col min="4" max="4" width="11.57421875" style="16" customWidth="1"/>
    <col min="5" max="5" width="13.28125" style="16" customWidth="1"/>
    <col min="6" max="6" width="8.8515625" style="36" customWidth="1"/>
    <col min="7" max="7" width="12.57421875" style="3" customWidth="1"/>
    <col min="8" max="8" width="13.00390625" style="3" customWidth="1"/>
    <col min="9" max="9" width="33.421875" style="4" customWidth="1"/>
    <col min="10" max="16384" width="9.140625" style="4" customWidth="1"/>
  </cols>
  <sheetData>
    <row r="1" spans="9:10" ht="15">
      <c r="I1" s="15" t="s">
        <v>18</v>
      </c>
      <c r="J1" s="48" t="s">
        <v>74</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30</v>
      </c>
      <c r="I4" s="5" t="s">
        <v>7</v>
      </c>
    </row>
    <row r="5" spans="1:9" s="2" customFormat="1" ht="71.25">
      <c r="A5" s="10"/>
      <c r="B5" s="11" t="s">
        <v>0</v>
      </c>
      <c r="C5" s="10" t="s">
        <v>9</v>
      </c>
      <c r="D5" s="211" t="s">
        <v>144</v>
      </c>
      <c r="E5" s="17" t="s">
        <v>6</v>
      </c>
      <c r="F5" s="37" t="s">
        <v>1</v>
      </c>
      <c r="G5" s="17" t="s">
        <v>38</v>
      </c>
      <c r="H5" s="10" t="s">
        <v>39</v>
      </c>
      <c r="I5" s="10" t="s">
        <v>40</v>
      </c>
    </row>
    <row r="6" spans="1:9" ht="30" customHeight="1">
      <c r="A6" s="7">
        <v>1</v>
      </c>
      <c r="B6" s="8" t="s">
        <v>3</v>
      </c>
      <c r="C6" s="261" t="s">
        <v>10</v>
      </c>
      <c r="D6" s="18">
        <v>255</v>
      </c>
      <c r="E6" s="71">
        <v>11.1</v>
      </c>
      <c r="F6" s="74">
        <v>0.0435294117647059</v>
      </c>
      <c r="G6" s="113">
        <v>90.64</v>
      </c>
      <c r="H6" s="113">
        <v>83.36</v>
      </c>
      <c r="I6" s="217" t="s">
        <v>155</v>
      </c>
    </row>
    <row r="7" spans="1:9" ht="30" customHeight="1">
      <c r="A7" s="7">
        <v>2</v>
      </c>
      <c r="B7" s="8" t="s">
        <v>4</v>
      </c>
      <c r="C7" s="262"/>
      <c r="D7" s="18">
        <v>275</v>
      </c>
      <c r="E7" s="71">
        <v>0.06</v>
      </c>
      <c r="F7" s="74">
        <v>0.000218181818181818</v>
      </c>
      <c r="G7" s="113">
        <v>0</v>
      </c>
      <c r="H7" s="113">
        <v>54</v>
      </c>
      <c r="I7" s="217" t="s">
        <v>134</v>
      </c>
    </row>
    <row r="8" spans="1:9" ht="24.75" customHeight="1">
      <c r="A8" s="7">
        <v>3</v>
      </c>
      <c r="B8" s="8" t="s">
        <v>13</v>
      </c>
      <c r="C8" s="262"/>
      <c r="D8" s="18">
        <v>0</v>
      </c>
      <c r="E8" s="71"/>
      <c r="F8" s="45"/>
      <c r="G8" s="113"/>
      <c r="H8" s="113"/>
      <c r="I8" s="217"/>
    </row>
    <row r="9" spans="1:9" ht="41.25" customHeight="1">
      <c r="A9" s="7">
        <v>4</v>
      </c>
      <c r="B9" s="8" t="s">
        <v>14</v>
      </c>
      <c r="C9" s="263"/>
      <c r="D9" s="18">
        <v>10</v>
      </c>
      <c r="E9" s="71">
        <v>0</v>
      </c>
      <c r="F9" s="45"/>
      <c r="G9" s="113"/>
      <c r="H9" s="113">
        <v>10</v>
      </c>
      <c r="I9" s="217" t="s">
        <v>156</v>
      </c>
    </row>
    <row r="10" spans="1:9" s="6" customFormat="1" ht="24.75" customHeight="1">
      <c r="A10" s="12"/>
      <c r="B10" s="11" t="s">
        <v>8</v>
      </c>
      <c r="C10" s="11"/>
      <c r="D10" s="19">
        <f>SUM(D6:D9)</f>
        <v>540</v>
      </c>
      <c r="E10" s="72">
        <f>SUM(E6:E9)</f>
        <v>11.16</v>
      </c>
      <c r="F10" s="46">
        <f>+E10/D10</f>
        <v>0.020666666666666667</v>
      </c>
      <c r="G10" s="111">
        <f>SUM(G6:G9)</f>
        <v>90.64</v>
      </c>
      <c r="H10" s="111">
        <f>SUM(H6:H9)</f>
        <v>147.36</v>
      </c>
      <c r="I10" s="218"/>
    </row>
    <row r="11" spans="1:9" ht="24.75" customHeight="1">
      <c r="A11" s="7">
        <v>5</v>
      </c>
      <c r="B11" s="109" t="s">
        <v>129</v>
      </c>
      <c r="C11" s="261">
        <v>3</v>
      </c>
      <c r="D11" s="18">
        <v>83</v>
      </c>
      <c r="E11" s="71">
        <v>21.6</v>
      </c>
      <c r="F11" s="74">
        <v>0.2602409638554217</v>
      </c>
      <c r="G11" s="113">
        <v>39.17</v>
      </c>
      <c r="H11" s="113">
        <v>22.23</v>
      </c>
      <c r="I11" s="217" t="s">
        <v>81</v>
      </c>
    </row>
    <row r="12" spans="1:9" ht="38.25" customHeight="1">
      <c r="A12" s="7">
        <v>6</v>
      </c>
      <c r="B12" s="8" t="s">
        <v>11</v>
      </c>
      <c r="C12" s="262"/>
      <c r="D12" s="18">
        <v>200</v>
      </c>
      <c r="E12" s="71">
        <v>64</v>
      </c>
      <c r="F12" s="74">
        <v>0.32</v>
      </c>
      <c r="G12" s="113">
        <v>116</v>
      </c>
      <c r="H12" s="113">
        <v>20</v>
      </c>
      <c r="I12" s="217" t="s">
        <v>82</v>
      </c>
    </row>
    <row r="13" spans="1:9" ht="30.75" customHeight="1">
      <c r="A13" s="7">
        <v>7</v>
      </c>
      <c r="B13" s="8" t="s">
        <v>12</v>
      </c>
      <c r="C13" s="263"/>
      <c r="D13" s="18">
        <v>47</v>
      </c>
      <c r="E13" s="71">
        <v>9.5</v>
      </c>
      <c r="F13" s="74">
        <v>0.20212765957446807</v>
      </c>
      <c r="G13" s="113">
        <v>21.1</v>
      </c>
      <c r="H13" s="113">
        <v>16.4</v>
      </c>
      <c r="I13" s="217" t="s">
        <v>157</v>
      </c>
    </row>
    <row r="14" spans="1:9" s="6" customFormat="1" ht="24.75" customHeight="1">
      <c r="A14" s="12"/>
      <c r="B14" s="11" t="s">
        <v>8</v>
      </c>
      <c r="C14" s="11"/>
      <c r="D14" s="19">
        <f>SUM(D11:D13)</f>
        <v>330</v>
      </c>
      <c r="E14" s="72">
        <f>SUM(E11:E13)</f>
        <v>95.1</v>
      </c>
      <c r="F14" s="46">
        <f>+E14/D14</f>
        <v>0.28818181818181815</v>
      </c>
      <c r="G14" s="111">
        <f>SUM(G11:G13)</f>
        <v>176.27</v>
      </c>
      <c r="H14" s="111">
        <f>SUM(H11:H13)</f>
        <v>58.63</v>
      </c>
      <c r="I14" s="70"/>
    </row>
    <row r="15" spans="1:9" ht="24.75" customHeight="1">
      <c r="A15" s="7"/>
      <c r="B15" s="8"/>
      <c r="C15" s="8"/>
      <c r="D15" s="18"/>
      <c r="E15" s="67"/>
      <c r="F15" s="45"/>
      <c r="G15" s="110"/>
      <c r="H15" s="110"/>
      <c r="I15" s="58"/>
    </row>
    <row r="16" spans="1:9" s="6" customFormat="1" ht="24.75" customHeight="1">
      <c r="A16" s="12"/>
      <c r="B16" s="11" t="s">
        <v>5</v>
      </c>
      <c r="C16" s="11"/>
      <c r="D16" s="19">
        <f>+D14+D10</f>
        <v>870</v>
      </c>
      <c r="E16" s="72">
        <f>+E14+E10</f>
        <v>106.25999999999999</v>
      </c>
      <c r="F16" s="46">
        <f>+E16/D16</f>
        <v>0.12213793103448274</v>
      </c>
      <c r="G16" s="111">
        <f>+G14+G10</f>
        <v>266.91</v>
      </c>
      <c r="H16" s="111">
        <f>+H14+H10</f>
        <v>205.99</v>
      </c>
      <c r="I16" s="62"/>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21.xml><?xml version="1.0" encoding="utf-8"?>
<worksheet xmlns="http://schemas.openxmlformats.org/spreadsheetml/2006/main" xmlns:r="http://schemas.openxmlformats.org/officeDocument/2006/relationships">
  <sheetPr>
    <tabColor rgb="FF00B050"/>
  </sheetPr>
  <dimension ref="A1:J20"/>
  <sheetViews>
    <sheetView zoomScalePageLayoutView="0" workbookViewId="0" topLeftCell="A10">
      <selection activeCell="C6" sqref="C6:C11"/>
    </sheetView>
  </sheetViews>
  <sheetFormatPr defaultColWidth="9.140625" defaultRowHeight="15"/>
  <cols>
    <col min="1" max="1" width="4.7109375" style="3" customWidth="1"/>
    <col min="2" max="2" width="39.57421875" style="1" customWidth="1"/>
    <col min="3" max="3" width="6.7109375" style="1" customWidth="1"/>
    <col min="4" max="4" width="11.28125" style="16" customWidth="1"/>
    <col min="5" max="5" width="12.8515625" style="16" customWidth="1"/>
    <col min="6" max="6" width="7.8515625" style="36" customWidth="1"/>
    <col min="7" max="7" width="12.57421875" style="3" customWidth="1"/>
    <col min="8" max="8" width="12.7109375" style="3" customWidth="1"/>
    <col min="9" max="9" width="39.57421875" style="4" customWidth="1"/>
    <col min="10" max="16384" width="9.140625" style="4" customWidth="1"/>
  </cols>
  <sheetData>
    <row r="1" spans="9:10" ht="15">
      <c r="I1" s="15" t="s">
        <v>18</v>
      </c>
      <c r="J1" s="49" t="s">
        <v>71</v>
      </c>
    </row>
    <row r="2" spans="1:9" ht="18.75" customHeight="1">
      <c r="A2" s="260" t="s">
        <v>16</v>
      </c>
      <c r="B2" s="260"/>
      <c r="C2" s="260"/>
      <c r="D2" s="260"/>
      <c r="E2" s="260"/>
      <c r="F2" s="260"/>
      <c r="G2" s="260"/>
      <c r="H2" s="260"/>
      <c r="I2" s="260"/>
    </row>
    <row r="3" spans="1:9" ht="18.75" customHeight="1">
      <c r="A3" s="260" t="s">
        <v>17</v>
      </c>
      <c r="B3" s="260"/>
      <c r="C3" s="260"/>
      <c r="D3" s="260"/>
      <c r="E3" s="260"/>
      <c r="F3" s="260"/>
      <c r="G3" s="260"/>
      <c r="H3" s="260"/>
      <c r="I3" s="260"/>
    </row>
    <row r="4" spans="1:9" ht="15">
      <c r="A4" s="14" t="s">
        <v>31</v>
      </c>
      <c r="I4" s="5" t="s">
        <v>7</v>
      </c>
    </row>
    <row r="5" spans="1:9" s="2" customFormat="1" ht="71.25">
      <c r="A5" s="10"/>
      <c r="B5" s="11" t="s">
        <v>0</v>
      </c>
      <c r="C5" s="10" t="s">
        <v>9</v>
      </c>
      <c r="D5" s="211" t="s">
        <v>144</v>
      </c>
      <c r="E5" s="17" t="s">
        <v>6</v>
      </c>
      <c r="F5" s="37" t="s">
        <v>1</v>
      </c>
      <c r="G5" s="17" t="s">
        <v>38</v>
      </c>
      <c r="H5" s="10" t="s">
        <v>39</v>
      </c>
      <c r="I5" s="10" t="s">
        <v>40</v>
      </c>
    </row>
    <row r="6" spans="1:9" ht="51.75" customHeight="1">
      <c r="A6" s="7">
        <v>1</v>
      </c>
      <c r="B6" s="8" t="s">
        <v>3</v>
      </c>
      <c r="C6" s="261" t="s">
        <v>10</v>
      </c>
      <c r="D6" s="18">
        <v>50</v>
      </c>
      <c r="E6" s="18">
        <v>23.04</v>
      </c>
      <c r="F6" s="112">
        <f>+E6/D6</f>
        <v>0.4608</v>
      </c>
      <c r="G6" s="113">
        <v>26.96</v>
      </c>
      <c r="H6" s="113">
        <v>0</v>
      </c>
      <c r="I6" s="117" t="s">
        <v>135</v>
      </c>
    </row>
    <row r="7" spans="1:9" ht="81" customHeight="1">
      <c r="A7" s="7">
        <v>2</v>
      </c>
      <c r="B7" s="8" t="s">
        <v>4</v>
      </c>
      <c r="C7" s="262"/>
      <c r="D7" s="18">
        <v>160</v>
      </c>
      <c r="E7" s="18">
        <v>0</v>
      </c>
      <c r="F7" s="112">
        <f aca="true" t="shared" si="0" ref="F7:F13">+E7/D7</f>
        <v>0</v>
      </c>
      <c r="G7" s="113">
        <v>100</v>
      </c>
      <c r="H7" s="113">
        <v>60</v>
      </c>
      <c r="I7" s="117" t="s">
        <v>158</v>
      </c>
    </row>
    <row r="8" spans="1:9" ht="24.75" customHeight="1">
      <c r="A8" s="7">
        <v>3</v>
      </c>
      <c r="B8" s="8" t="s">
        <v>13</v>
      </c>
      <c r="C8" s="262"/>
      <c r="D8" s="18">
        <v>0</v>
      </c>
      <c r="E8" s="18"/>
      <c r="F8" s="112"/>
      <c r="G8" s="113"/>
      <c r="H8" s="113"/>
      <c r="I8" s="87"/>
    </row>
    <row r="9" spans="1:9" ht="24.75" customHeight="1">
      <c r="A9" s="7">
        <v>4</v>
      </c>
      <c r="B9" s="8" t="s">
        <v>14</v>
      </c>
      <c r="C9" s="263"/>
      <c r="D9" s="18">
        <v>0</v>
      </c>
      <c r="E9" s="18"/>
      <c r="F9" s="112"/>
      <c r="G9" s="113"/>
      <c r="H9" s="113"/>
      <c r="I9" s="87"/>
    </row>
    <row r="10" spans="1:9" s="6" customFormat="1" ht="24.75" customHeight="1">
      <c r="A10" s="12"/>
      <c r="B10" s="11" t="s">
        <v>8</v>
      </c>
      <c r="C10" s="11"/>
      <c r="D10" s="19">
        <f>SUM(D6:D9)</f>
        <v>210</v>
      </c>
      <c r="E10" s="19">
        <f>SUM(E6:E9)</f>
        <v>23.04</v>
      </c>
      <c r="F10" s="100">
        <f>+E10/D10</f>
        <v>0.10971428571428571</v>
      </c>
      <c r="G10" s="111">
        <f>SUM(G6:G9)</f>
        <v>126.96000000000001</v>
      </c>
      <c r="H10" s="111">
        <f>SUM(H6:H9)</f>
        <v>60</v>
      </c>
      <c r="I10" s="90"/>
    </row>
    <row r="11" spans="1:9" ht="24.75" customHeight="1">
      <c r="A11" s="7">
        <v>5</v>
      </c>
      <c r="B11" s="109" t="s">
        <v>129</v>
      </c>
      <c r="C11" s="261">
        <v>3</v>
      </c>
      <c r="D11" s="18">
        <v>45</v>
      </c>
      <c r="E11" s="18">
        <v>30</v>
      </c>
      <c r="F11" s="112">
        <f t="shared" si="0"/>
        <v>0.6666666666666666</v>
      </c>
      <c r="G11" s="113">
        <v>15</v>
      </c>
      <c r="H11" s="113">
        <v>0</v>
      </c>
      <c r="I11" s="87"/>
    </row>
    <row r="12" spans="1:9" ht="75.75" customHeight="1">
      <c r="A12" s="7">
        <v>6</v>
      </c>
      <c r="B12" s="8" t="s">
        <v>11</v>
      </c>
      <c r="C12" s="262"/>
      <c r="D12" s="18">
        <v>416</v>
      </c>
      <c r="E12" s="18">
        <f>109.16+150</f>
        <v>259.15999999999997</v>
      </c>
      <c r="F12" s="112">
        <f t="shared" si="0"/>
        <v>0.6229807692307692</v>
      </c>
      <c r="G12" s="113">
        <f>206.84-150</f>
        <v>56.84</v>
      </c>
      <c r="H12" s="113">
        <v>100</v>
      </c>
      <c r="I12" s="117" t="s">
        <v>159</v>
      </c>
    </row>
    <row r="13" spans="1:9" ht="24.75" customHeight="1">
      <c r="A13" s="7">
        <v>7</v>
      </c>
      <c r="B13" s="8" t="s">
        <v>12</v>
      </c>
      <c r="C13" s="263"/>
      <c r="D13" s="18">
        <v>31</v>
      </c>
      <c r="E13" s="18">
        <v>3.31</v>
      </c>
      <c r="F13" s="112">
        <f t="shared" si="0"/>
        <v>0.1067741935483871</v>
      </c>
      <c r="G13" s="113">
        <v>0</v>
      </c>
      <c r="H13" s="113">
        <v>27.69</v>
      </c>
      <c r="I13" s="9"/>
    </row>
    <row r="14" spans="1:9" s="6" customFormat="1" ht="24.75" customHeight="1">
      <c r="A14" s="12"/>
      <c r="B14" s="11" t="s">
        <v>8</v>
      </c>
      <c r="C14" s="11"/>
      <c r="D14" s="19">
        <f>SUM(D11:D13)</f>
        <v>492</v>
      </c>
      <c r="E14" s="111">
        <f>SUM(E11:E13)</f>
        <v>292.46999999999997</v>
      </c>
      <c r="F14" s="100">
        <f>+E14/D14</f>
        <v>0.594451219512195</v>
      </c>
      <c r="G14" s="111">
        <f>SUM(G11:G13)</f>
        <v>71.84</v>
      </c>
      <c r="H14" s="111">
        <f>SUM(H11:H13)</f>
        <v>127.69</v>
      </c>
      <c r="I14" s="13"/>
    </row>
    <row r="15" spans="1:9" ht="24.75" customHeight="1">
      <c r="A15" s="7"/>
      <c r="B15" s="8"/>
      <c r="C15" s="8"/>
      <c r="D15" s="18"/>
      <c r="E15" s="110"/>
      <c r="F15" s="99"/>
      <c r="G15" s="110"/>
      <c r="H15" s="110"/>
      <c r="I15" s="9"/>
    </row>
    <row r="16" spans="1:9" s="6" customFormat="1" ht="24.75" customHeight="1">
      <c r="A16" s="12"/>
      <c r="B16" s="11" t="s">
        <v>5</v>
      </c>
      <c r="C16" s="11"/>
      <c r="D16" s="19">
        <f>+D14+D10</f>
        <v>702</v>
      </c>
      <c r="E16" s="111">
        <f>+E14+E10</f>
        <v>315.51</v>
      </c>
      <c r="F16" s="100">
        <f>+E16/D16</f>
        <v>0.4494444444444444</v>
      </c>
      <c r="G16" s="111">
        <f>+G14+G10</f>
        <v>198.8</v>
      </c>
      <c r="H16" s="111">
        <f>+H14+H10</f>
        <v>187.69</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58" right="0.25" top="0.5" bottom="0.61" header="0.3" footer="0.3"/>
  <pageSetup horizontalDpi="600" verticalDpi="600" orientation="landscape" paperSize="9" scale="93" r:id="rId1"/>
  <headerFooter>
    <oddFooter>&amp;L&amp;8&amp;F&amp;A&amp;CPage &amp;P&amp;R&amp;8&amp;D&amp;T</oddFooter>
  </headerFooter>
</worksheet>
</file>

<file path=xl/worksheets/sheet22.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1">
      <selection activeCell="C6" sqref="C6:C11"/>
    </sheetView>
  </sheetViews>
  <sheetFormatPr defaultColWidth="9.140625" defaultRowHeight="15"/>
  <cols>
    <col min="1" max="1" width="4.7109375" style="3" customWidth="1"/>
    <col min="2" max="2" width="40.00390625" style="1" customWidth="1"/>
    <col min="3" max="3" width="6.7109375" style="1" customWidth="1"/>
    <col min="4" max="4" width="11.421875" style="16" customWidth="1"/>
    <col min="5" max="5" width="13.28125" style="16" customWidth="1"/>
    <col min="6" max="6" width="8.00390625" style="36" customWidth="1"/>
    <col min="7" max="7" width="12.57421875" style="3" customWidth="1"/>
    <col min="8" max="8" width="13.00390625" style="3" customWidth="1"/>
    <col min="9" max="9" width="34.710937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32</v>
      </c>
      <c r="I4" s="5" t="s">
        <v>7</v>
      </c>
    </row>
    <row r="5" spans="1:9" s="2" customFormat="1" ht="71.25">
      <c r="A5" s="10"/>
      <c r="B5" s="11" t="s">
        <v>0</v>
      </c>
      <c r="C5" s="10" t="s">
        <v>9</v>
      </c>
      <c r="D5" s="211" t="s">
        <v>144</v>
      </c>
      <c r="E5" s="17" t="s">
        <v>6</v>
      </c>
      <c r="F5" s="37" t="s">
        <v>1</v>
      </c>
      <c r="G5" s="17" t="s">
        <v>38</v>
      </c>
      <c r="H5" s="10" t="s">
        <v>39</v>
      </c>
      <c r="I5" s="10" t="s">
        <v>40</v>
      </c>
    </row>
    <row r="6" spans="1:9" ht="24.75" customHeight="1">
      <c r="A6" s="7">
        <v>1</v>
      </c>
      <c r="B6" s="8" t="s">
        <v>3</v>
      </c>
      <c r="C6" s="261" t="s">
        <v>10</v>
      </c>
      <c r="D6" s="18">
        <v>370.31</v>
      </c>
      <c r="E6" s="18">
        <v>155.1</v>
      </c>
      <c r="F6" s="112">
        <f>+E6/D6</f>
        <v>0.418838270638114</v>
      </c>
      <c r="G6" s="113">
        <v>72</v>
      </c>
      <c r="H6" s="113">
        <v>143.21</v>
      </c>
      <c r="I6" s="212" t="s">
        <v>85</v>
      </c>
    </row>
    <row r="7" spans="1:9" ht="52.5" customHeight="1">
      <c r="A7" s="7">
        <v>2</v>
      </c>
      <c r="B7" s="8" t="s">
        <v>4</v>
      </c>
      <c r="C7" s="262"/>
      <c r="D7" s="18">
        <v>430</v>
      </c>
      <c r="E7" s="18">
        <v>17.7</v>
      </c>
      <c r="F7" s="112">
        <f aca="true" t="shared" si="0" ref="F7:F13">+E7/D7</f>
        <v>0.041162790697674416</v>
      </c>
      <c r="G7" s="113">
        <v>28.1</v>
      </c>
      <c r="H7" s="113">
        <v>226</v>
      </c>
      <c r="I7" s="117" t="s">
        <v>86</v>
      </c>
    </row>
    <row r="8" spans="1:9" ht="24.75" customHeight="1">
      <c r="A8" s="7">
        <v>3</v>
      </c>
      <c r="B8" s="8" t="s">
        <v>165</v>
      </c>
      <c r="C8" s="262"/>
      <c r="D8" s="18">
        <v>200</v>
      </c>
      <c r="E8" s="18"/>
      <c r="F8" s="112"/>
      <c r="G8" s="113"/>
      <c r="H8" s="113"/>
      <c r="I8" s="117"/>
    </row>
    <row r="9" spans="1:9" ht="36.75" customHeight="1">
      <c r="A9" s="7">
        <v>4</v>
      </c>
      <c r="B9" s="8" t="s">
        <v>14</v>
      </c>
      <c r="C9" s="263"/>
      <c r="D9" s="18">
        <v>50</v>
      </c>
      <c r="E9" s="18"/>
      <c r="F9" s="112">
        <f t="shared" si="0"/>
        <v>0</v>
      </c>
      <c r="G9" s="113"/>
      <c r="H9" s="113"/>
      <c r="I9" s="117" t="s">
        <v>160</v>
      </c>
    </row>
    <row r="10" spans="1:9" s="6" customFormat="1" ht="24.75" customHeight="1">
      <c r="A10" s="12"/>
      <c r="B10" s="11" t="s">
        <v>8</v>
      </c>
      <c r="C10" s="11"/>
      <c r="D10" s="19">
        <f>SUM(D6:D9)</f>
        <v>1050.31</v>
      </c>
      <c r="E10" s="111">
        <f>SUM(E6:E9)</f>
        <v>172.79999999999998</v>
      </c>
      <c r="F10" s="120">
        <f>+E10/D10</f>
        <v>0.16452285515704887</v>
      </c>
      <c r="G10" s="111">
        <f>SUM(G6:G9)</f>
        <v>100.1</v>
      </c>
      <c r="H10" s="111">
        <f>SUM(H6:H9)</f>
        <v>369.21000000000004</v>
      </c>
      <c r="I10" s="13"/>
    </row>
    <row r="11" spans="1:9" ht="24.75" customHeight="1">
      <c r="A11" s="7">
        <v>5</v>
      </c>
      <c r="B11" s="109" t="s">
        <v>129</v>
      </c>
      <c r="C11" s="261">
        <v>3</v>
      </c>
      <c r="D11" s="18">
        <v>35.19</v>
      </c>
      <c r="E11" s="18">
        <v>29.81</v>
      </c>
      <c r="F11" s="112">
        <f t="shared" si="0"/>
        <v>0.8471156578573459</v>
      </c>
      <c r="G11" s="113">
        <v>0</v>
      </c>
      <c r="H11" s="113">
        <v>5.38</v>
      </c>
      <c r="I11" s="9"/>
    </row>
    <row r="12" spans="1:9" ht="24.75" customHeight="1">
      <c r="A12" s="7">
        <v>6</v>
      </c>
      <c r="B12" s="8" t="s">
        <v>11</v>
      </c>
      <c r="C12" s="262"/>
      <c r="D12" s="18">
        <v>280</v>
      </c>
      <c r="E12" s="18">
        <v>190.26</v>
      </c>
      <c r="F12" s="112">
        <f t="shared" si="0"/>
        <v>0.6795</v>
      </c>
      <c r="G12" s="113">
        <v>80</v>
      </c>
      <c r="H12" s="113">
        <v>9.74</v>
      </c>
      <c r="I12" s="9"/>
    </row>
    <row r="13" spans="1:9" ht="24.75" customHeight="1">
      <c r="A13" s="7">
        <v>7</v>
      </c>
      <c r="B13" s="8" t="s">
        <v>12</v>
      </c>
      <c r="C13" s="263"/>
      <c r="D13" s="18">
        <v>50.5</v>
      </c>
      <c r="E13" s="18">
        <v>11.81</v>
      </c>
      <c r="F13" s="112">
        <f t="shared" si="0"/>
        <v>0.23386138613861387</v>
      </c>
      <c r="G13" s="113">
        <v>0</v>
      </c>
      <c r="H13" s="113">
        <v>35</v>
      </c>
      <c r="I13" s="9"/>
    </row>
    <row r="14" spans="1:9" s="6" customFormat="1" ht="24.75" customHeight="1">
      <c r="A14" s="12"/>
      <c r="B14" s="11" t="s">
        <v>8</v>
      </c>
      <c r="C14" s="11"/>
      <c r="D14" s="19">
        <f>SUM(D11:D13)</f>
        <v>365.69</v>
      </c>
      <c r="E14" s="111">
        <f>SUM(E11:E13)</f>
        <v>231.88</v>
      </c>
      <c r="F14" s="120">
        <f>+E14/D14</f>
        <v>0.6340889824714923</v>
      </c>
      <c r="G14" s="111">
        <f>SUM(G11:G13)</f>
        <v>80</v>
      </c>
      <c r="H14" s="111">
        <f>SUM(H11:H13)</f>
        <v>50.120000000000005</v>
      </c>
      <c r="I14" s="13"/>
    </row>
    <row r="15" spans="1:9" ht="24.75" customHeight="1">
      <c r="A15" s="7"/>
      <c r="B15" s="8"/>
      <c r="C15" s="8"/>
      <c r="D15" s="18"/>
      <c r="E15" s="110"/>
      <c r="F15" s="121"/>
      <c r="G15" s="110"/>
      <c r="H15" s="110"/>
      <c r="I15" s="9"/>
    </row>
    <row r="16" spans="1:9" s="6" customFormat="1" ht="24.75" customHeight="1">
      <c r="A16" s="12"/>
      <c r="B16" s="11" t="s">
        <v>5</v>
      </c>
      <c r="C16" s="11"/>
      <c r="D16" s="19">
        <f>+D14+D10</f>
        <v>1416</v>
      </c>
      <c r="E16" s="111">
        <f>+E14+E10</f>
        <v>404.67999999999995</v>
      </c>
      <c r="F16" s="120">
        <f>+E16/D16</f>
        <v>0.2857909604519774</v>
      </c>
      <c r="G16" s="111">
        <f>+G14+G10</f>
        <v>180.1</v>
      </c>
      <c r="H16" s="111">
        <f>+H14+H10</f>
        <v>419.33000000000004</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23.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4">
      <selection activeCell="C6" sqref="C6:C11"/>
    </sheetView>
  </sheetViews>
  <sheetFormatPr defaultColWidth="9.140625" defaultRowHeight="15"/>
  <cols>
    <col min="1" max="1" width="4.7109375" style="3" customWidth="1"/>
    <col min="2" max="2" width="40.8515625" style="1" customWidth="1"/>
    <col min="3" max="3" width="6.7109375" style="1" customWidth="1"/>
    <col min="4" max="4" width="11.57421875" style="16" customWidth="1"/>
    <col min="5" max="5" width="13.28125" style="16" customWidth="1"/>
    <col min="6" max="6" width="9.00390625" style="36" customWidth="1"/>
    <col min="7" max="7" width="12.57421875" style="3" customWidth="1"/>
    <col min="8" max="8" width="13.00390625" style="3" customWidth="1"/>
    <col min="9" max="9" width="34.281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33</v>
      </c>
      <c r="I4" s="5" t="s">
        <v>7</v>
      </c>
    </row>
    <row r="5" spans="1:9" s="2" customFormat="1" ht="71.25">
      <c r="A5" s="10"/>
      <c r="B5" s="11" t="s">
        <v>0</v>
      </c>
      <c r="C5" s="10" t="s">
        <v>9</v>
      </c>
      <c r="D5" s="211" t="s">
        <v>144</v>
      </c>
      <c r="E5" s="17" t="s">
        <v>6</v>
      </c>
      <c r="F5" s="37" t="s">
        <v>1</v>
      </c>
      <c r="G5" s="17" t="s">
        <v>38</v>
      </c>
      <c r="H5" s="10" t="s">
        <v>39</v>
      </c>
      <c r="I5" s="10" t="s">
        <v>40</v>
      </c>
    </row>
    <row r="6" spans="1:9" ht="24.75" customHeight="1">
      <c r="A6" s="7">
        <v>1</v>
      </c>
      <c r="B6" s="8" t="s">
        <v>3</v>
      </c>
      <c r="C6" s="261" t="s">
        <v>10</v>
      </c>
      <c r="D6" s="18">
        <v>250</v>
      </c>
      <c r="E6" s="18">
        <v>109.65</v>
      </c>
      <c r="F6" s="112">
        <f>+E6/D6</f>
        <v>0.43860000000000005</v>
      </c>
      <c r="G6" s="113">
        <v>56</v>
      </c>
      <c r="H6" s="113">
        <v>84.35</v>
      </c>
      <c r="I6" s="212" t="s">
        <v>92</v>
      </c>
    </row>
    <row r="7" spans="1:9" ht="24.75" customHeight="1">
      <c r="A7" s="7">
        <v>2</v>
      </c>
      <c r="B7" s="8" t="s">
        <v>4</v>
      </c>
      <c r="C7" s="262"/>
      <c r="D7" s="18">
        <v>0</v>
      </c>
      <c r="E7" s="18"/>
      <c r="F7" s="112"/>
      <c r="G7" s="113"/>
      <c r="H7" s="113"/>
      <c r="I7" s="212"/>
    </row>
    <row r="8" spans="1:9" ht="24.75" customHeight="1">
      <c r="A8" s="7">
        <v>3</v>
      </c>
      <c r="B8" s="8" t="s">
        <v>13</v>
      </c>
      <c r="C8" s="262"/>
      <c r="D8" s="18">
        <v>0</v>
      </c>
      <c r="E8" s="18"/>
      <c r="F8" s="112"/>
      <c r="G8" s="113"/>
      <c r="H8" s="113"/>
      <c r="I8" s="212"/>
    </row>
    <row r="9" spans="1:9" ht="24.75" customHeight="1">
      <c r="A9" s="7">
        <v>4</v>
      </c>
      <c r="B9" s="8" t="s">
        <v>14</v>
      </c>
      <c r="C9" s="263"/>
      <c r="D9" s="18">
        <v>0</v>
      </c>
      <c r="E9" s="18"/>
      <c r="F9" s="112"/>
      <c r="G9" s="113"/>
      <c r="H9" s="113"/>
      <c r="I9" s="212"/>
    </row>
    <row r="10" spans="1:9" s="6" customFormat="1" ht="24.75" customHeight="1">
      <c r="A10" s="12"/>
      <c r="B10" s="11" t="s">
        <v>8</v>
      </c>
      <c r="C10" s="11"/>
      <c r="D10" s="19">
        <f>SUM(D6:D9)</f>
        <v>250</v>
      </c>
      <c r="E10" s="111">
        <f>SUM(E6:E9)</f>
        <v>109.65</v>
      </c>
      <c r="F10" s="100">
        <f>+E10/D10</f>
        <v>0.43860000000000005</v>
      </c>
      <c r="G10" s="111">
        <f>SUM(G6:G9)</f>
        <v>56</v>
      </c>
      <c r="H10" s="111">
        <f>SUM(H6:H9)</f>
        <v>84.35</v>
      </c>
      <c r="I10" s="213"/>
    </row>
    <row r="11" spans="1:9" ht="24.75" customHeight="1">
      <c r="A11" s="7">
        <v>5</v>
      </c>
      <c r="B11" s="109" t="s">
        <v>129</v>
      </c>
      <c r="C11" s="261">
        <v>3</v>
      </c>
      <c r="D11" s="18">
        <v>35</v>
      </c>
      <c r="E11" s="18">
        <v>23.59</v>
      </c>
      <c r="F11" s="112">
        <f>+E11/D11</f>
        <v>0.674</v>
      </c>
      <c r="G11" s="113">
        <v>5</v>
      </c>
      <c r="H11" s="113">
        <v>6</v>
      </c>
      <c r="I11" s="117" t="s">
        <v>92</v>
      </c>
    </row>
    <row r="12" spans="1:9" ht="69.75" customHeight="1">
      <c r="A12" s="7">
        <v>6</v>
      </c>
      <c r="B12" s="8" t="s">
        <v>11</v>
      </c>
      <c r="C12" s="262"/>
      <c r="D12" s="18">
        <v>111.375</v>
      </c>
      <c r="E12" s="18">
        <v>46.82</v>
      </c>
      <c r="F12" s="112">
        <f>+E12/D12</f>
        <v>0.42038159371492706</v>
      </c>
      <c r="G12" s="113">
        <v>43</v>
      </c>
      <c r="H12" s="113">
        <v>21.56</v>
      </c>
      <c r="I12" s="117" t="s">
        <v>91</v>
      </c>
    </row>
    <row r="13" spans="1:9" ht="35.25" customHeight="1">
      <c r="A13" s="7">
        <v>7</v>
      </c>
      <c r="B13" s="8" t="s">
        <v>12</v>
      </c>
      <c r="C13" s="263"/>
      <c r="D13" s="18">
        <v>24.625</v>
      </c>
      <c r="E13" s="18">
        <v>2.57</v>
      </c>
      <c r="F13" s="112">
        <f>+E13/D13</f>
        <v>0.10436548223350253</v>
      </c>
      <c r="G13" s="113">
        <v>8</v>
      </c>
      <c r="H13" s="113">
        <v>14.06</v>
      </c>
      <c r="I13" s="117" t="s">
        <v>166</v>
      </c>
    </row>
    <row r="14" spans="1:9" s="6" customFormat="1" ht="24.75" customHeight="1">
      <c r="A14" s="12"/>
      <c r="B14" s="11" t="s">
        <v>8</v>
      </c>
      <c r="C14" s="11"/>
      <c r="D14" s="19">
        <f>SUM(D11:D13)</f>
        <v>171</v>
      </c>
      <c r="E14" s="111">
        <f>SUM(E11:E13)</f>
        <v>72.97999999999999</v>
      </c>
      <c r="F14" s="100">
        <f>+E14/D14</f>
        <v>0.4267836257309941</v>
      </c>
      <c r="G14" s="111">
        <f>SUM(G11:G13)</f>
        <v>56</v>
      </c>
      <c r="H14" s="111">
        <f>SUM(H11:H13)</f>
        <v>41.62</v>
      </c>
      <c r="I14" s="13"/>
    </row>
    <row r="15" spans="1:9" ht="24.75" customHeight="1">
      <c r="A15" s="7"/>
      <c r="B15" s="8"/>
      <c r="C15" s="8"/>
      <c r="D15" s="18"/>
      <c r="E15" s="110"/>
      <c r="F15" s="99"/>
      <c r="G15" s="110"/>
      <c r="H15" s="110"/>
      <c r="I15" s="9"/>
    </row>
    <row r="16" spans="1:9" s="6" customFormat="1" ht="24.75" customHeight="1">
      <c r="A16" s="12"/>
      <c r="B16" s="11" t="s">
        <v>5</v>
      </c>
      <c r="C16" s="11"/>
      <c r="D16" s="20">
        <f>+D14+D10</f>
        <v>421</v>
      </c>
      <c r="E16" s="20">
        <f>+E14+E10</f>
        <v>182.63</v>
      </c>
      <c r="F16" s="100">
        <f>+E16/D16</f>
        <v>0.4338004750593824</v>
      </c>
      <c r="G16" s="20">
        <f>+G14+G10</f>
        <v>112</v>
      </c>
      <c r="H16" s="20">
        <f>+H14+H10</f>
        <v>125.97</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24.xml><?xml version="1.0" encoding="utf-8"?>
<worksheet xmlns="http://schemas.openxmlformats.org/spreadsheetml/2006/main" xmlns:r="http://schemas.openxmlformats.org/officeDocument/2006/relationships">
  <sheetPr>
    <tabColor rgb="FF00B050"/>
  </sheetPr>
  <dimension ref="A1:K15"/>
  <sheetViews>
    <sheetView tabSelected="1" zoomScalePageLayoutView="0" workbookViewId="0" topLeftCell="A1">
      <selection activeCell="M14" sqref="M14"/>
    </sheetView>
  </sheetViews>
  <sheetFormatPr defaultColWidth="9.140625" defaultRowHeight="15"/>
  <cols>
    <col min="1" max="1" width="4.7109375" style="3" customWidth="1"/>
    <col min="2" max="2" width="38.140625" style="1" customWidth="1"/>
    <col min="3" max="3" width="11.421875" style="16" customWidth="1"/>
    <col min="4" max="4" width="13.00390625" style="16" customWidth="1"/>
    <col min="5" max="8" width="10.421875" style="43" customWidth="1"/>
    <col min="9" max="9" width="11.8515625" style="3" customWidth="1"/>
    <col min="10" max="10" width="27.7109375" style="53" customWidth="1"/>
    <col min="11" max="16384" width="9.140625" style="4" customWidth="1"/>
  </cols>
  <sheetData>
    <row r="1" spans="10:11" ht="15">
      <c r="J1" s="64" t="s">
        <v>169</v>
      </c>
      <c r="K1" s="49" t="s">
        <v>71</v>
      </c>
    </row>
    <row r="2" spans="1:10" ht="24.75" customHeight="1">
      <c r="A2" s="276" t="s">
        <v>186</v>
      </c>
      <c r="B2" s="276"/>
      <c r="C2" s="276"/>
      <c r="D2" s="276"/>
      <c r="E2" s="276"/>
      <c r="F2" s="276"/>
      <c r="G2" s="276"/>
      <c r="H2" s="276"/>
      <c r="I2" s="276"/>
      <c r="J2" s="276"/>
    </row>
    <row r="3" spans="1:10" ht="24.75" customHeight="1">
      <c r="A3" s="260"/>
      <c r="B3" s="260"/>
      <c r="C3" s="260"/>
      <c r="D3" s="260"/>
      <c r="E3" s="260"/>
      <c r="F3" s="260"/>
      <c r="G3" s="260"/>
      <c r="H3" s="260"/>
      <c r="I3" s="260"/>
      <c r="J3" s="260"/>
    </row>
    <row r="4" spans="1:10" s="83" customFormat="1" ht="24.75" customHeight="1">
      <c r="A4" s="14" t="s">
        <v>170</v>
      </c>
      <c r="B4" s="219"/>
      <c r="C4" s="219"/>
      <c r="D4" s="219"/>
      <c r="E4" s="219"/>
      <c r="F4" s="219"/>
      <c r="G4" s="219"/>
      <c r="H4" s="219"/>
      <c r="I4" s="219"/>
      <c r="J4" s="54" t="s">
        <v>7</v>
      </c>
    </row>
    <row r="5" spans="1:10" s="224" customFormat="1" ht="15">
      <c r="A5" s="281"/>
      <c r="B5" s="274" t="s">
        <v>0</v>
      </c>
      <c r="C5" s="283" t="s">
        <v>182</v>
      </c>
      <c r="D5" s="285" t="s">
        <v>175</v>
      </c>
      <c r="E5" s="272" t="s">
        <v>176</v>
      </c>
      <c r="F5" s="278" t="s">
        <v>187</v>
      </c>
      <c r="G5" s="279"/>
      <c r="H5" s="279"/>
      <c r="I5" s="280"/>
      <c r="J5" s="274" t="s">
        <v>177</v>
      </c>
    </row>
    <row r="6" spans="1:10" s="244" customFormat="1" ht="30.75" customHeight="1">
      <c r="A6" s="282"/>
      <c r="B6" s="275"/>
      <c r="C6" s="284"/>
      <c r="D6" s="286"/>
      <c r="E6" s="273"/>
      <c r="F6" s="245" t="s">
        <v>178</v>
      </c>
      <c r="G6" s="246" t="s">
        <v>179</v>
      </c>
      <c r="H6" s="246" t="s">
        <v>180</v>
      </c>
      <c r="I6" s="247" t="s">
        <v>181</v>
      </c>
      <c r="J6" s="275"/>
    </row>
    <row r="7" spans="1:10" ht="33.75" customHeight="1">
      <c r="A7" s="7">
        <v>1</v>
      </c>
      <c r="B7" s="221" t="s">
        <v>171</v>
      </c>
      <c r="C7" s="18"/>
      <c r="D7" s="18"/>
      <c r="E7" s="45"/>
      <c r="F7" s="220"/>
      <c r="G7" s="220"/>
      <c r="H7" s="220"/>
      <c r="I7" s="113"/>
      <c r="J7" s="58"/>
    </row>
    <row r="8" spans="1:10" ht="39" customHeight="1">
      <c r="A8" s="268"/>
      <c r="B8" s="248" t="s">
        <v>183</v>
      </c>
      <c r="C8" s="110"/>
      <c r="D8" s="110"/>
      <c r="E8" s="230"/>
      <c r="F8" s="227"/>
      <c r="G8" s="227"/>
      <c r="H8" s="227"/>
      <c r="I8" s="110"/>
      <c r="J8" s="228"/>
    </row>
    <row r="9" spans="1:10" ht="39" customHeight="1">
      <c r="A9" s="268"/>
      <c r="B9" s="249" t="s">
        <v>184</v>
      </c>
      <c r="C9" s="233"/>
      <c r="D9" s="233"/>
      <c r="E9" s="250"/>
      <c r="F9" s="250"/>
      <c r="G9" s="250"/>
      <c r="H9" s="250"/>
      <c r="I9" s="233"/>
      <c r="J9" s="237"/>
    </row>
    <row r="10" spans="1:10" ht="39" customHeight="1">
      <c r="A10" s="277"/>
      <c r="B10" s="248" t="s">
        <v>185</v>
      </c>
      <c r="C10" s="229"/>
      <c r="D10" s="229"/>
      <c r="E10" s="230"/>
      <c r="F10" s="230"/>
      <c r="G10" s="230"/>
      <c r="H10" s="230"/>
      <c r="I10" s="229"/>
      <c r="J10" s="228"/>
    </row>
    <row r="11" spans="1:10" ht="30.75" customHeight="1">
      <c r="A11" s="231">
        <v>2</v>
      </c>
      <c r="B11" s="232" t="s">
        <v>126</v>
      </c>
      <c r="C11" s="233"/>
      <c r="D11" s="233"/>
      <c r="E11" s="234"/>
      <c r="F11" s="234"/>
      <c r="G11" s="234"/>
      <c r="H11" s="234"/>
      <c r="I11" s="235"/>
      <c r="J11" s="236"/>
    </row>
    <row r="12" spans="1:10" ht="36" customHeight="1">
      <c r="A12" s="231">
        <v>3</v>
      </c>
      <c r="B12" s="232" t="s">
        <v>172</v>
      </c>
      <c r="C12" s="233"/>
      <c r="D12" s="233"/>
      <c r="E12" s="234"/>
      <c r="F12" s="234"/>
      <c r="G12" s="234"/>
      <c r="H12" s="234"/>
      <c r="I12" s="235"/>
      <c r="J12" s="237"/>
    </row>
    <row r="13" spans="1:10" s="224" customFormat="1" ht="34.5" customHeight="1">
      <c r="A13" s="238">
        <v>4</v>
      </c>
      <c r="B13" s="239" t="s">
        <v>173</v>
      </c>
      <c r="C13" s="240"/>
      <c r="D13" s="240"/>
      <c r="E13" s="241"/>
      <c r="F13" s="241"/>
      <c r="G13" s="241"/>
      <c r="H13" s="241"/>
      <c r="I13" s="242"/>
      <c r="J13" s="243"/>
    </row>
    <row r="14" spans="1:10" s="224" customFormat="1" ht="34.5" customHeight="1">
      <c r="A14" s="225">
        <v>5</v>
      </c>
      <c r="B14" s="226" t="s">
        <v>174</v>
      </c>
      <c r="C14" s="93"/>
      <c r="D14" s="93"/>
      <c r="E14" s="222"/>
      <c r="F14" s="222"/>
      <c r="G14" s="222"/>
      <c r="H14" s="222"/>
      <c r="I14" s="105"/>
      <c r="J14" s="223"/>
    </row>
    <row r="15" spans="1:10" s="6" customFormat="1" ht="38.25" customHeight="1">
      <c r="A15" s="12"/>
      <c r="B15" s="11"/>
      <c r="C15" s="19"/>
      <c r="D15" s="19"/>
      <c r="E15" s="46"/>
      <c r="F15" s="46"/>
      <c r="G15" s="46"/>
      <c r="H15" s="46"/>
      <c r="I15" s="111"/>
      <c r="J15" s="62"/>
    </row>
  </sheetData>
  <sheetProtection/>
  <mergeCells count="10">
    <mergeCell ref="E5:E6"/>
    <mergeCell ref="J5:J6"/>
    <mergeCell ref="A2:J2"/>
    <mergeCell ref="A3:J3"/>
    <mergeCell ref="A8:A10"/>
    <mergeCell ref="F5:I5"/>
    <mergeCell ref="B5:B6"/>
    <mergeCell ref="A5:A6"/>
    <mergeCell ref="C5:C6"/>
    <mergeCell ref="D5:D6"/>
  </mergeCells>
  <printOptions/>
  <pageMargins left="0.7" right="0.25" top="0.5" bottom="0.61" header="0.3" footer="0.3"/>
  <pageSetup horizontalDpi="300" verticalDpi="300" orientation="landscape" paperSize="9" scale="93" r:id="rId1"/>
</worksheet>
</file>

<file path=xl/worksheets/sheet25.xml><?xml version="1.0" encoding="utf-8"?>
<worksheet xmlns="http://schemas.openxmlformats.org/spreadsheetml/2006/main" xmlns:r="http://schemas.openxmlformats.org/officeDocument/2006/relationships">
  <sheetPr>
    <tabColor rgb="FFFFFF00"/>
  </sheetPr>
  <dimension ref="A1:G20"/>
  <sheetViews>
    <sheetView zoomScalePageLayoutView="0" workbookViewId="0" topLeftCell="A1">
      <selection activeCell="G5" sqref="G5"/>
    </sheetView>
  </sheetViews>
  <sheetFormatPr defaultColWidth="9.140625" defaultRowHeight="15"/>
  <cols>
    <col min="1" max="1" width="4.7109375" style="3" customWidth="1"/>
    <col min="2" max="2" width="41.8515625" style="1" customWidth="1"/>
    <col min="3" max="3" width="6.7109375" style="1" customWidth="1"/>
    <col min="4" max="5" width="13.28125" style="16" customWidth="1"/>
    <col min="6" max="6" width="9.140625" style="3" customWidth="1"/>
    <col min="7" max="7" width="40.8515625" style="4" customWidth="1"/>
    <col min="8" max="16384" width="9.140625" style="4" customWidth="1"/>
  </cols>
  <sheetData>
    <row r="1" ht="15">
      <c r="G1" s="15" t="s">
        <v>18</v>
      </c>
    </row>
    <row r="2" spans="1:7" ht="24.75" customHeight="1">
      <c r="A2" s="260" t="s">
        <v>16</v>
      </c>
      <c r="B2" s="260"/>
      <c r="C2" s="260"/>
      <c r="D2" s="260"/>
      <c r="E2" s="260"/>
      <c r="F2" s="260"/>
      <c r="G2" s="260"/>
    </row>
    <row r="3" spans="1:7" ht="24.75" customHeight="1">
      <c r="A3" s="260" t="s">
        <v>17</v>
      </c>
      <c r="B3" s="260"/>
      <c r="C3" s="260"/>
      <c r="D3" s="260"/>
      <c r="E3" s="260"/>
      <c r="F3" s="260"/>
      <c r="G3" s="260"/>
    </row>
    <row r="4" spans="1:7" ht="15">
      <c r="A4" s="14" t="s">
        <v>36</v>
      </c>
      <c r="G4" s="5" t="s">
        <v>7</v>
      </c>
    </row>
    <row r="5" spans="1:7" s="2" customFormat="1" ht="42.75">
      <c r="A5" s="10"/>
      <c r="B5" s="11" t="s">
        <v>0</v>
      </c>
      <c r="C5" s="10" t="s">
        <v>9</v>
      </c>
      <c r="D5" s="17" t="s">
        <v>22</v>
      </c>
      <c r="E5" s="17" t="s">
        <v>6</v>
      </c>
      <c r="F5" s="10" t="s">
        <v>1</v>
      </c>
      <c r="G5" s="10" t="s">
        <v>40</v>
      </c>
    </row>
    <row r="6" spans="1:7" ht="24.75" customHeight="1">
      <c r="A6" s="7">
        <v>1</v>
      </c>
      <c r="B6" s="8" t="s">
        <v>3</v>
      </c>
      <c r="C6" s="261" t="s">
        <v>10</v>
      </c>
      <c r="D6" s="18">
        <f>+PDN!D6+CMB!D6+SJP!D6+KLN!D6+MRT!D6+UJA!D6+RUH!D6+EUSL!D6+RUSL!D6+SUSL!D6+SEUSL!D6+WUSL!D6+UVPA!D6+'annex i'!C7+Trinco!D6+OUSL!D6</f>
        <v>5818.31</v>
      </c>
      <c r="E6" s="18"/>
      <c r="F6" s="7"/>
      <c r="G6" s="9"/>
    </row>
    <row r="7" spans="1:7" ht="24.75" customHeight="1">
      <c r="A7" s="7">
        <v>2</v>
      </c>
      <c r="B7" s="8" t="s">
        <v>4</v>
      </c>
      <c r="C7" s="262"/>
      <c r="D7" s="18">
        <f>+PDN!D7+CMB!D7+SJP!D7+KLN!D7+MRT!D7+UJA!D7+RUH!D7+EUSL!D7+RUSL!D7+SUSL!D7+SEUSL!D7+WUSL!D7+UVPA!D7+'annex i'!C8+Trinco!D7+OUSL!D7</f>
        <v>3250</v>
      </c>
      <c r="E7" s="18"/>
      <c r="F7" s="7"/>
      <c r="G7" s="9"/>
    </row>
    <row r="8" spans="1:7" ht="24.75" customHeight="1">
      <c r="A8" s="7">
        <v>3</v>
      </c>
      <c r="B8" s="8" t="s">
        <v>13</v>
      </c>
      <c r="C8" s="262"/>
      <c r="D8" s="18">
        <f>+PDN!D8+CMB!D8+SJP!D8+KLN!D8+MRT!D8+UJA!D9+RUH!D8+EUSL!D8+RUSL!D9+SUSL!D8+SEUSL!D8+WUSL!D8+UVPA!D8+'annex i'!C11+Trinco!D8+OUSL!D8</f>
        <v>1400</v>
      </c>
      <c r="E8" s="18"/>
      <c r="F8" s="7"/>
      <c r="G8" s="9"/>
    </row>
    <row r="9" spans="1:7" ht="24.75" customHeight="1">
      <c r="A9" s="7">
        <v>4</v>
      </c>
      <c r="B9" s="8" t="s">
        <v>14</v>
      </c>
      <c r="C9" s="263"/>
      <c r="D9" s="18">
        <f>+PDN!D9+CMB!D9+SJP!D9+KLN!D9+MRT!D9+UJA!D10+RUH!D9+EUSL!D9+RUSL!D10+SUSL!D9+SEUSL!D9+WUSL!D9+UVPA!D9+'annex i'!C12+Trinco!D9+OUSL!D9</f>
        <v>285</v>
      </c>
      <c r="E9" s="18"/>
      <c r="F9" s="7"/>
      <c r="G9" s="9"/>
    </row>
    <row r="10" spans="1:7" s="6" customFormat="1" ht="24.75" customHeight="1">
      <c r="A10" s="12"/>
      <c r="B10" s="11" t="s">
        <v>8</v>
      </c>
      <c r="C10" s="11"/>
      <c r="D10" s="19">
        <f>SUM(D6:D9)</f>
        <v>10753.310000000001</v>
      </c>
      <c r="E10" s="19">
        <f>SUM(E6:E9)</f>
        <v>0</v>
      </c>
      <c r="F10" s="12"/>
      <c r="G10" s="13"/>
    </row>
    <row r="11" spans="1:7" ht="24.75" customHeight="1">
      <c r="A11" s="7">
        <v>5</v>
      </c>
      <c r="B11" s="8" t="s">
        <v>2</v>
      </c>
      <c r="C11" s="261">
        <v>3</v>
      </c>
      <c r="D11" s="18">
        <f>+PDN!D11+CMB!D11+SJP!D11+KLN!D11+MRT!D11+UJA!D12+RUH!D11+EUSL!D11+RUSL!D12+SUSL!D11+SEUSL!D11+WUSL!D11+UVPA!D11+'annex i'!C13+Trinco!D11+OUSL!D11</f>
        <v>1573.1100000000001</v>
      </c>
      <c r="E11" s="18"/>
      <c r="F11" s="7"/>
      <c r="G11" s="9"/>
    </row>
    <row r="12" spans="1:7" ht="24.75" customHeight="1">
      <c r="A12" s="7">
        <v>6</v>
      </c>
      <c r="B12" s="8" t="s">
        <v>11</v>
      </c>
      <c r="C12" s="262"/>
      <c r="D12" s="18">
        <f>+PDN!D12+CMB!D12+SJP!D12+KLN!D12+MRT!D12+UJA!D13+RUH!D12+EUSL!D12+RUSL!D13+SUSL!D12+SEUSL!D12+WUSL!D12+UVPA!D12+'annex i'!C14+Trinco!D12+OUSL!D12</f>
        <v>3612.955</v>
      </c>
      <c r="E12" s="18"/>
      <c r="F12" s="7"/>
      <c r="G12" s="9"/>
    </row>
    <row r="13" spans="1:7" ht="24.75" customHeight="1">
      <c r="A13" s="7">
        <v>7</v>
      </c>
      <c r="B13" s="8" t="s">
        <v>12</v>
      </c>
      <c r="C13" s="263"/>
      <c r="D13" s="18" t="e">
        <f>+PDN!D13+CMB!D13+SJP!D13+KLN!D13+MRT!D13+UJA!D14+RUH!D13+EUSL!D13+RUSL!D15+SUSL!D13+SEUSL!D13+WUSL!D13+UVPA!D13+'annex i'!#REF!+Trinco!D13+OUSL!D13</f>
        <v>#REF!</v>
      </c>
      <c r="E13" s="18"/>
      <c r="F13" s="7"/>
      <c r="G13" s="9"/>
    </row>
    <row r="14" spans="1:7" s="6" customFormat="1" ht="24.75" customHeight="1">
      <c r="A14" s="12"/>
      <c r="B14" s="11" t="s">
        <v>8</v>
      </c>
      <c r="C14" s="11"/>
      <c r="D14" s="19" t="e">
        <f>SUM(D11:D13)</f>
        <v>#REF!</v>
      </c>
      <c r="E14" s="19">
        <f>SUM(E11:E13)</f>
        <v>0</v>
      </c>
      <c r="F14" s="12"/>
      <c r="G14" s="13"/>
    </row>
    <row r="15" spans="1:7" ht="24.75" customHeight="1">
      <c r="A15" s="7"/>
      <c r="B15" s="8"/>
      <c r="C15" s="8"/>
      <c r="D15" s="18"/>
      <c r="E15" s="18"/>
      <c r="F15" s="7"/>
      <c r="G15" s="9"/>
    </row>
    <row r="16" spans="1:7" s="6" customFormat="1" ht="24.75" customHeight="1">
      <c r="A16" s="12"/>
      <c r="B16" s="11" t="s">
        <v>5</v>
      </c>
      <c r="C16" s="11"/>
      <c r="D16" s="19" t="e">
        <f>+D14+D10</f>
        <v>#REF!</v>
      </c>
      <c r="E16" s="19">
        <f>+E14+E10</f>
        <v>0</v>
      </c>
      <c r="F16" s="12"/>
      <c r="G16" s="13"/>
    </row>
    <row r="17" ht="15">
      <c r="B17" s="1" t="s">
        <v>15</v>
      </c>
    </row>
    <row r="19" ht="15">
      <c r="G19" s="4" t="s">
        <v>19</v>
      </c>
    </row>
    <row r="20" ht="15">
      <c r="G20" s="4" t="s">
        <v>20</v>
      </c>
    </row>
  </sheetData>
  <sheetProtection/>
  <mergeCells count="4">
    <mergeCell ref="A2:G2"/>
    <mergeCell ref="A3:G3"/>
    <mergeCell ref="C6:C9"/>
    <mergeCell ref="C11:C13"/>
  </mergeCells>
  <printOptions/>
  <pageMargins left="0.71" right="0.51"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1">
      <selection activeCell="A1" sqref="A1"/>
    </sheetView>
  </sheetViews>
  <sheetFormatPr defaultColWidth="9.140625" defaultRowHeight="15"/>
  <cols>
    <col min="1" max="1" width="4.7109375" style="3" customWidth="1"/>
    <col min="2" max="2" width="40.57421875" style="1" customWidth="1"/>
    <col min="3" max="3" width="6.7109375" style="1" customWidth="1"/>
    <col min="4" max="4" width="11.8515625" style="16" customWidth="1"/>
    <col min="5" max="5" width="13.28125" style="16" customWidth="1"/>
    <col min="6" max="6" width="9.140625" style="36" customWidth="1"/>
    <col min="7" max="7" width="12.57421875" style="3" customWidth="1"/>
    <col min="8" max="8" width="13.00390625" style="3" customWidth="1"/>
    <col min="9" max="9" width="34.140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41</v>
      </c>
      <c r="I4" s="5" t="s">
        <v>7</v>
      </c>
    </row>
    <row r="5" spans="1:9" s="2" customFormat="1" ht="71.25">
      <c r="A5" s="10"/>
      <c r="B5" s="11" t="s">
        <v>0</v>
      </c>
      <c r="C5" s="10" t="s">
        <v>9</v>
      </c>
      <c r="D5" s="211" t="s">
        <v>144</v>
      </c>
      <c r="E5" s="17" t="s">
        <v>6</v>
      </c>
      <c r="F5" s="37" t="s">
        <v>1</v>
      </c>
      <c r="G5" s="17" t="s">
        <v>38</v>
      </c>
      <c r="H5" s="10" t="s">
        <v>39</v>
      </c>
      <c r="I5" s="10" t="s">
        <v>40</v>
      </c>
    </row>
    <row r="6" spans="1:9" ht="36" customHeight="1">
      <c r="A6" s="7">
        <v>1</v>
      </c>
      <c r="B6" s="8" t="s">
        <v>3</v>
      </c>
      <c r="C6" s="261" t="s">
        <v>10</v>
      </c>
      <c r="D6" s="18">
        <v>420</v>
      </c>
      <c r="E6" s="18">
        <v>59</v>
      </c>
      <c r="F6" s="131">
        <f>+E6/D6</f>
        <v>0.14047619047619048</v>
      </c>
      <c r="G6" s="130">
        <v>153</v>
      </c>
      <c r="H6" s="130">
        <v>145.6</v>
      </c>
      <c r="I6" s="109" t="s">
        <v>104</v>
      </c>
    </row>
    <row r="7" spans="1:9" ht="24.75" customHeight="1">
      <c r="A7" s="7">
        <v>2</v>
      </c>
      <c r="B7" s="8" t="s">
        <v>4</v>
      </c>
      <c r="C7" s="262"/>
      <c r="D7" s="18">
        <v>0</v>
      </c>
      <c r="E7" s="18"/>
      <c r="F7" s="131"/>
      <c r="G7" s="130"/>
      <c r="H7" s="130"/>
      <c r="I7" s="9"/>
    </row>
    <row r="8" spans="1:9" ht="24.75" customHeight="1">
      <c r="A8" s="7">
        <v>3</v>
      </c>
      <c r="B8" s="8" t="s">
        <v>13</v>
      </c>
      <c r="C8" s="262"/>
      <c r="D8" s="18">
        <v>0</v>
      </c>
      <c r="E8" s="18"/>
      <c r="F8" s="131"/>
      <c r="G8" s="130"/>
      <c r="H8" s="130"/>
      <c r="I8" s="9"/>
    </row>
    <row r="9" spans="1:9" ht="24.75" customHeight="1">
      <c r="A9" s="7">
        <v>4</v>
      </c>
      <c r="B9" s="8" t="s">
        <v>14</v>
      </c>
      <c r="C9" s="263"/>
      <c r="D9" s="18">
        <v>0</v>
      </c>
      <c r="E9" s="18"/>
      <c r="F9" s="131"/>
      <c r="G9" s="130"/>
      <c r="H9" s="130"/>
      <c r="I9" s="9"/>
    </row>
    <row r="10" spans="1:9" s="6" customFormat="1" ht="24.75" customHeight="1">
      <c r="A10" s="12"/>
      <c r="B10" s="11" t="s">
        <v>8</v>
      </c>
      <c r="C10" s="11"/>
      <c r="D10" s="19">
        <f>SUM(D6:D9)</f>
        <v>420</v>
      </c>
      <c r="E10" s="111">
        <f>SUM(E6:E9)</f>
        <v>59</v>
      </c>
      <c r="F10" s="100">
        <f>+E10/D10</f>
        <v>0.14047619047619048</v>
      </c>
      <c r="G10" s="111">
        <f>SUM(G6:G9)</f>
        <v>153</v>
      </c>
      <c r="H10" s="111">
        <f>SUM(H6:H9)</f>
        <v>145.6</v>
      </c>
      <c r="I10" s="13"/>
    </row>
    <row r="11" spans="1:9" ht="24.75" customHeight="1">
      <c r="A11" s="7">
        <v>5</v>
      </c>
      <c r="B11" s="109" t="s">
        <v>129</v>
      </c>
      <c r="C11" s="261">
        <v>3</v>
      </c>
      <c r="D11" s="18">
        <v>7</v>
      </c>
      <c r="E11" s="18">
        <v>7</v>
      </c>
      <c r="F11" s="131">
        <f>+E11/D11</f>
        <v>1</v>
      </c>
      <c r="G11" s="130">
        <v>7</v>
      </c>
      <c r="H11" s="130"/>
      <c r="I11" s="9"/>
    </row>
    <row r="12" spans="1:9" ht="24.75" customHeight="1">
      <c r="A12" s="7">
        <v>6</v>
      </c>
      <c r="B12" s="8" t="s">
        <v>11</v>
      </c>
      <c r="C12" s="262"/>
      <c r="D12" s="18">
        <v>8</v>
      </c>
      <c r="E12" s="18">
        <v>8</v>
      </c>
      <c r="F12" s="131">
        <f>+E12/D12</f>
        <v>1</v>
      </c>
      <c r="G12" s="130">
        <v>8</v>
      </c>
      <c r="H12" s="130"/>
      <c r="I12" s="9"/>
    </row>
    <row r="13" spans="1:9" ht="24.75" customHeight="1">
      <c r="A13" s="7">
        <v>7</v>
      </c>
      <c r="B13" s="8" t="s">
        <v>12</v>
      </c>
      <c r="C13" s="263"/>
      <c r="D13" s="18">
        <v>0</v>
      </c>
      <c r="E13" s="18"/>
      <c r="F13" s="131"/>
      <c r="G13" s="130"/>
      <c r="H13" s="130"/>
      <c r="I13" s="9"/>
    </row>
    <row r="14" spans="1:9" s="6" customFormat="1" ht="24.75" customHeight="1">
      <c r="A14" s="12"/>
      <c r="B14" s="11" t="s">
        <v>8</v>
      </c>
      <c r="C14" s="11"/>
      <c r="D14" s="19">
        <f>SUM(D11:D13)</f>
        <v>15</v>
      </c>
      <c r="E14" s="111">
        <f>SUM(E11:E13)</f>
        <v>15</v>
      </c>
      <c r="F14" s="100">
        <f>+E14/D14</f>
        <v>1</v>
      </c>
      <c r="G14" s="111">
        <f>SUM(G11:G13)</f>
        <v>15</v>
      </c>
      <c r="H14" s="111">
        <f>SUM(H11:H13)</f>
        <v>0</v>
      </c>
      <c r="I14" s="13"/>
    </row>
    <row r="15" spans="1:9" ht="24.75" customHeight="1">
      <c r="A15" s="7"/>
      <c r="B15" s="8"/>
      <c r="C15" s="8"/>
      <c r="D15" s="18"/>
      <c r="E15" s="110"/>
      <c r="F15" s="99"/>
      <c r="G15" s="110"/>
      <c r="H15" s="110"/>
      <c r="I15" s="9"/>
    </row>
    <row r="16" spans="1:9" s="6" customFormat="1" ht="24.75" customHeight="1">
      <c r="A16" s="12"/>
      <c r="B16" s="11" t="s">
        <v>5</v>
      </c>
      <c r="C16" s="11"/>
      <c r="D16" s="19">
        <f>+D14+D10</f>
        <v>435</v>
      </c>
      <c r="E16" s="111">
        <f>+E14+E10</f>
        <v>74</v>
      </c>
      <c r="F16" s="100">
        <f>+E16/D16</f>
        <v>0.17011494252873563</v>
      </c>
      <c r="G16" s="111">
        <f>+G14+G10</f>
        <v>168</v>
      </c>
      <c r="H16" s="111">
        <f>+H14+H10</f>
        <v>145.6</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27.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1">
      <selection activeCell="A1" sqref="A1"/>
    </sheetView>
  </sheetViews>
  <sheetFormatPr defaultColWidth="9.140625" defaultRowHeight="15"/>
  <cols>
    <col min="1" max="1" width="4.7109375" style="3" customWidth="1"/>
    <col min="2" max="2" width="40.57421875" style="1" customWidth="1"/>
    <col min="3" max="3" width="6.7109375" style="1" customWidth="1"/>
    <col min="4" max="4" width="11.8515625" style="16" customWidth="1"/>
    <col min="5" max="5" width="13.28125" style="16" customWidth="1"/>
    <col min="6" max="6" width="9.140625" style="36" customWidth="1"/>
    <col min="7" max="7" width="12.57421875" style="3" customWidth="1"/>
    <col min="8" max="8" width="13.00390625" style="3" customWidth="1"/>
    <col min="9" max="9" width="34.140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42</v>
      </c>
      <c r="I4" s="5" t="s">
        <v>7</v>
      </c>
    </row>
    <row r="5" spans="1:9" s="2" customFormat="1" ht="71.25">
      <c r="A5" s="10"/>
      <c r="B5" s="11" t="s">
        <v>0</v>
      </c>
      <c r="C5" s="10" t="s">
        <v>9</v>
      </c>
      <c r="D5" s="211" t="s">
        <v>144</v>
      </c>
      <c r="E5" s="17" t="s">
        <v>6</v>
      </c>
      <c r="F5" s="37" t="s">
        <v>1</v>
      </c>
      <c r="G5" s="17" t="s">
        <v>38</v>
      </c>
      <c r="H5" s="10" t="s">
        <v>39</v>
      </c>
      <c r="I5" s="10" t="s">
        <v>40</v>
      </c>
    </row>
    <row r="6" spans="1:9" ht="36" customHeight="1">
      <c r="A6" s="7">
        <v>1</v>
      </c>
      <c r="B6" s="8" t="s">
        <v>45</v>
      </c>
      <c r="C6" s="261" t="s">
        <v>10</v>
      </c>
      <c r="D6" s="18">
        <v>0</v>
      </c>
      <c r="E6" s="18">
        <v>0</v>
      </c>
      <c r="F6" s="112"/>
      <c r="G6" s="113">
        <v>0</v>
      </c>
      <c r="H6" s="113">
        <v>0</v>
      </c>
      <c r="I6" s="109" t="s">
        <v>87</v>
      </c>
    </row>
    <row r="7" spans="1:9" ht="24.75" customHeight="1">
      <c r="A7" s="7">
        <v>2</v>
      </c>
      <c r="B7" s="8" t="s">
        <v>4</v>
      </c>
      <c r="C7" s="262"/>
      <c r="D7" s="18">
        <v>0</v>
      </c>
      <c r="E7" s="18"/>
      <c r="F7" s="112"/>
      <c r="G7" s="113"/>
      <c r="H7" s="113"/>
      <c r="I7" s="9"/>
    </row>
    <row r="8" spans="1:9" ht="24.75" customHeight="1">
      <c r="A8" s="7">
        <v>3</v>
      </c>
      <c r="B8" s="8" t="s">
        <v>13</v>
      </c>
      <c r="C8" s="262"/>
      <c r="D8" s="18">
        <v>0</v>
      </c>
      <c r="E8" s="18"/>
      <c r="F8" s="112"/>
      <c r="G8" s="113"/>
      <c r="H8" s="113"/>
      <c r="I8" s="9"/>
    </row>
    <row r="9" spans="1:9" ht="24.75" customHeight="1">
      <c r="A9" s="7">
        <v>4</v>
      </c>
      <c r="B9" s="8" t="s">
        <v>14</v>
      </c>
      <c r="C9" s="263"/>
      <c r="D9" s="18">
        <v>0</v>
      </c>
      <c r="E9" s="18"/>
      <c r="F9" s="112"/>
      <c r="G9" s="113"/>
      <c r="H9" s="113"/>
      <c r="I9" s="9"/>
    </row>
    <row r="10" spans="1:9" s="6" customFormat="1" ht="24.75" customHeight="1">
      <c r="A10" s="12"/>
      <c r="B10" s="11" t="s">
        <v>8</v>
      </c>
      <c r="C10" s="11"/>
      <c r="D10" s="19">
        <f>SUM(D6:D9)</f>
        <v>0</v>
      </c>
      <c r="E10" s="111">
        <f>SUM(E6:E9)</f>
        <v>0</v>
      </c>
      <c r="F10" s="100" t="e">
        <f>+E10/D10</f>
        <v>#DIV/0!</v>
      </c>
      <c r="G10" s="111">
        <f>SUM(G6:G9)</f>
        <v>0</v>
      </c>
      <c r="H10" s="111">
        <f>SUM(H6:H9)</f>
        <v>0</v>
      </c>
      <c r="I10" s="13"/>
    </row>
    <row r="11" spans="1:9" ht="24.75" customHeight="1">
      <c r="A11" s="7">
        <v>5</v>
      </c>
      <c r="B11" s="109" t="s">
        <v>129</v>
      </c>
      <c r="C11" s="261">
        <v>3</v>
      </c>
      <c r="D11" s="18">
        <v>0.2</v>
      </c>
      <c r="E11" s="18">
        <v>0.2</v>
      </c>
      <c r="F11" s="112">
        <f>+E11/D11</f>
        <v>1</v>
      </c>
      <c r="G11" s="113">
        <v>0</v>
      </c>
      <c r="H11" s="113">
        <v>0</v>
      </c>
      <c r="I11" s="9"/>
    </row>
    <row r="12" spans="1:9" ht="24.75" customHeight="1">
      <c r="A12" s="7">
        <v>6</v>
      </c>
      <c r="B12" s="8" t="s">
        <v>11</v>
      </c>
      <c r="C12" s="262"/>
      <c r="D12" s="18">
        <v>7.2</v>
      </c>
      <c r="E12" s="18">
        <v>1.44</v>
      </c>
      <c r="F12" s="112">
        <f>+E12/D12</f>
        <v>0.19999999999999998</v>
      </c>
      <c r="G12" s="113">
        <v>2.86</v>
      </c>
      <c r="H12" s="113">
        <v>2.9</v>
      </c>
      <c r="I12" s="9"/>
    </row>
    <row r="13" spans="1:9" ht="24.75" customHeight="1">
      <c r="A13" s="7">
        <v>7</v>
      </c>
      <c r="B13" s="8" t="s">
        <v>12</v>
      </c>
      <c r="C13" s="263"/>
      <c r="D13" s="18">
        <v>2.6</v>
      </c>
      <c r="E13" s="18">
        <v>0.2</v>
      </c>
      <c r="F13" s="112">
        <f>+E13/D13</f>
        <v>0.07692307692307693</v>
      </c>
      <c r="G13" s="113">
        <v>0.755</v>
      </c>
      <c r="H13" s="113">
        <v>1.64</v>
      </c>
      <c r="I13" s="9"/>
    </row>
    <row r="14" spans="1:9" s="6" customFormat="1" ht="24.75" customHeight="1">
      <c r="A14" s="12"/>
      <c r="B14" s="11" t="s">
        <v>8</v>
      </c>
      <c r="C14" s="11"/>
      <c r="D14" s="19">
        <f>SUM(D11:D13)</f>
        <v>10</v>
      </c>
      <c r="E14" s="111">
        <f>SUM(E11:E13)</f>
        <v>1.8399999999999999</v>
      </c>
      <c r="F14" s="100">
        <f>+E14/D14</f>
        <v>0.184</v>
      </c>
      <c r="G14" s="111">
        <f>SUM(G11:G13)</f>
        <v>3.6149999999999998</v>
      </c>
      <c r="H14" s="111">
        <f>SUM(H11:H13)</f>
        <v>4.54</v>
      </c>
      <c r="I14" s="13"/>
    </row>
    <row r="15" spans="1:9" ht="24.75" customHeight="1">
      <c r="A15" s="7"/>
      <c r="B15" s="8"/>
      <c r="C15" s="8"/>
      <c r="D15" s="18"/>
      <c r="E15" s="110"/>
      <c r="F15" s="99"/>
      <c r="G15" s="110"/>
      <c r="H15" s="110"/>
      <c r="I15" s="9"/>
    </row>
    <row r="16" spans="1:9" s="6" customFormat="1" ht="24.75" customHeight="1">
      <c r="A16" s="12"/>
      <c r="B16" s="11" t="s">
        <v>5</v>
      </c>
      <c r="C16" s="11"/>
      <c r="D16" s="19">
        <f>+D14+D10</f>
        <v>10</v>
      </c>
      <c r="E16" s="111">
        <f>+E14+E10</f>
        <v>1.8399999999999999</v>
      </c>
      <c r="F16" s="100">
        <f>+E16/D16</f>
        <v>0.184</v>
      </c>
      <c r="G16" s="111">
        <f>+G14+G10</f>
        <v>3.6149999999999998</v>
      </c>
      <c r="H16" s="111">
        <f>+H14+H10</f>
        <v>4.54</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xl/worksheets/sheet28.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1">
      <selection activeCell="A1" sqref="A1"/>
    </sheetView>
  </sheetViews>
  <sheetFormatPr defaultColWidth="9.140625" defaultRowHeight="15"/>
  <cols>
    <col min="1" max="1" width="4.7109375" style="3" customWidth="1"/>
    <col min="2" max="2" width="40.57421875" style="1" customWidth="1"/>
    <col min="3" max="3" width="6.7109375" style="1" customWidth="1"/>
    <col min="4" max="4" width="11.8515625" style="16" customWidth="1"/>
    <col min="5" max="5" width="13.28125" style="16" customWidth="1"/>
    <col min="6" max="6" width="9.140625" style="43" customWidth="1"/>
    <col min="7" max="7" width="12.57421875" style="3" customWidth="1"/>
    <col min="8" max="8" width="13.00390625" style="3" customWidth="1"/>
    <col min="9" max="9" width="34.140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43</v>
      </c>
      <c r="I4" s="5" t="s">
        <v>7</v>
      </c>
    </row>
    <row r="5" spans="1:9" s="2" customFormat="1" ht="71.25">
      <c r="A5" s="10"/>
      <c r="B5" s="11" t="s">
        <v>0</v>
      </c>
      <c r="C5" s="10" t="s">
        <v>9</v>
      </c>
      <c r="D5" s="211" t="s">
        <v>144</v>
      </c>
      <c r="E5" s="17" t="s">
        <v>6</v>
      </c>
      <c r="F5" s="44" t="s">
        <v>1</v>
      </c>
      <c r="G5" s="17" t="s">
        <v>38</v>
      </c>
      <c r="H5" s="10" t="s">
        <v>39</v>
      </c>
      <c r="I5" s="10" t="s">
        <v>40</v>
      </c>
    </row>
    <row r="6" spans="1:9" ht="24.75" customHeight="1">
      <c r="A6" s="7">
        <v>1</v>
      </c>
      <c r="B6" s="8" t="s">
        <v>3</v>
      </c>
      <c r="C6" s="261" t="s">
        <v>10</v>
      </c>
      <c r="D6" s="18">
        <v>0</v>
      </c>
      <c r="E6" s="18"/>
      <c r="F6" s="118"/>
      <c r="G6" s="7"/>
      <c r="H6" s="7"/>
      <c r="I6" s="9"/>
    </row>
    <row r="7" spans="1:9" ht="24.75" customHeight="1">
      <c r="A7" s="7">
        <v>2</v>
      </c>
      <c r="B7" s="8" t="s">
        <v>4</v>
      </c>
      <c r="C7" s="262"/>
      <c r="D7" s="18">
        <v>0</v>
      </c>
      <c r="E7" s="18"/>
      <c r="F7" s="118"/>
      <c r="G7" s="7"/>
      <c r="H7" s="7"/>
      <c r="I7" s="9"/>
    </row>
    <row r="8" spans="1:9" ht="24.75" customHeight="1">
      <c r="A8" s="7">
        <v>3</v>
      </c>
      <c r="B8" s="8" t="s">
        <v>13</v>
      </c>
      <c r="C8" s="262"/>
      <c r="D8" s="18">
        <v>0</v>
      </c>
      <c r="E8" s="18"/>
      <c r="F8" s="118"/>
      <c r="G8" s="7"/>
      <c r="H8" s="7"/>
      <c r="I8" s="9"/>
    </row>
    <row r="9" spans="1:9" ht="24.75" customHeight="1">
      <c r="A9" s="7">
        <v>4</v>
      </c>
      <c r="B9" s="8" t="s">
        <v>14</v>
      </c>
      <c r="C9" s="263"/>
      <c r="D9" s="18">
        <v>0</v>
      </c>
      <c r="E9" s="18"/>
      <c r="F9" s="118"/>
      <c r="G9" s="7"/>
      <c r="H9" s="7"/>
      <c r="I9" s="9"/>
    </row>
    <row r="10" spans="1:9" s="6" customFormat="1" ht="24.75" customHeight="1">
      <c r="A10" s="12"/>
      <c r="B10" s="11" t="s">
        <v>8</v>
      </c>
      <c r="C10" s="11"/>
      <c r="D10" s="19">
        <f>SUM(D6:D9)</f>
        <v>0</v>
      </c>
      <c r="E10" s="111">
        <f>SUM(E6:E9)</f>
        <v>0</v>
      </c>
      <c r="F10" s="119"/>
      <c r="G10" s="111">
        <f>SUM(G6:G9)</f>
        <v>0</v>
      </c>
      <c r="H10" s="111">
        <f>SUM(H6:H9)</f>
        <v>0</v>
      </c>
      <c r="I10" s="13"/>
    </row>
    <row r="11" spans="1:9" ht="24.75" customHeight="1">
      <c r="A11" s="7">
        <v>5</v>
      </c>
      <c r="B11" s="109" t="s">
        <v>129</v>
      </c>
      <c r="C11" s="261">
        <v>3</v>
      </c>
      <c r="D11" s="18">
        <v>23</v>
      </c>
      <c r="E11" s="18">
        <v>21.6</v>
      </c>
      <c r="F11" s="112">
        <f>+E11/D11</f>
        <v>0.9391304347826087</v>
      </c>
      <c r="G11" s="113">
        <v>0</v>
      </c>
      <c r="H11" s="113">
        <v>1.4</v>
      </c>
      <c r="I11" s="9"/>
    </row>
    <row r="12" spans="1:9" ht="36.75" customHeight="1">
      <c r="A12" s="7">
        <v>6</v>
      </c>
      <c r="B12" s="8" t="s">
        <v>11</v>
      </c>
      <c r="C12" s="262"/>
      <c r="D12" s="18">
        <f>119+4.5</f>
        <v>123.5</v>
      </c>
      <c r="E12" s="18">
        <v>11</v>
      </c>
      <c r="F12" s="112">
        <f>+E12/D12</f>
        <v>0.08906882591093117</v>
      </c>
      <c r="G12" s="113">
        <v>0</v>
      </c>
      <c r="H12" s="113">
        <v>112.5</v>
      </c>
      <c r="I12" s="109" t="s">
        <v>136</v>
      </c>
    </row>
    <row r="13" spans="1:9" ht="36.75" customHeight="1">
      <c r="A13" s="7">
        <v>7</v>
      </c>
      <c r="B13" s="8" t="s">
        <v>12</v>
      </c>
      <c r="C13" s="263"/>
      <c r="D13" s="18">
        <f>15-4.5</f>
        <v>10.5</v>
      </c>
      <c r="E13" s="18">
        <v>2.1</v>
      </c>
      <c r="F13" s="112">
        <f>+E13/D13</f>
        <v>0.2</v>
      </c>
      <c r="G13" s="113">
        <v>0</v>
      </c>
      <c r="H13" s="113">
        <v>8.4</v>
      </c>
      <c r="I13" s="109" t="s">
        <v>137</v>
      </c>
    </row>
    <row r="14" spans="1:9" s="6" customFormat="1" ht="24.75" customHeight="1">
      <c r="A14" s="12"/>
      <c r="B14" s="11" t="s">
        <v>8</v>
      </c>
      <c r="C14" s="11"/>
      <c r="D14" s="19">
        <f>SUM(D11:D13)</f>
        <v>157</v>
      </c>
      <c r="E14" s="111">
        <f>SUM(E11:E13)</f>
        <v>34.7</v>
      </c>
      <c r="F14" s="100">
        <f>+E14/D14</f>
        <v>0.22101910828025478</v>
      </c>
      <c r="G14" s="111">
        <f>SUM(G11:G13)</f>
        <v>0</v>
      </c>
      <c r="H14" s="111">
        <f>SUM(H11:H13)</f>
        <v>122.30000000000001</v>
      </c>
      <c r="I14" s="13"/>
    </row>
    <row r="15" spans="1:9" ht="24.75" customHeight="1">
      <c r="A15" s="7"/>
      <c r="B15" s="8"/>
      <c r="C15" s="8"/>
      <c r="D15" s="18"/>
      <c r="E15" s="110"/>
      <c r="F15" s="99"/>
      <c r="G15" s="110"/>
      <c r="H15" s="110"/>
      <c r="I15" s="9"/>
    </row>
    <row r="16" spans="1:9" s="6" customFormat="1" ht="24.75" customHeight="1">
      <c r="A16" s="12"/>
      <c r="B16" s="11" t="s">
        <v>5</v>
      </c>
      <c r="C16" s="11"/>
      <c r="D16" s="19">
        <f>+D14+D10</f>
        <v>157</v>
      </c>
      <c r="E16" s="111">
        <f>+E14+E10</f>
        <v>34.7</v>
      </c>
      <c r="F16" s="100">
        <f>+E16/D16</f>
        <v>0.22101910828025478</v>
      </c>
      <c r="G16" s="111">
        <f>+G14+G10</f>
        <v>0</v>
      </c>
      <c r="H16" s="111">
        <f>+H14+H10</f>
        <v>122.30000000000001</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&amp;CPage &amp;P</oddFooter>
  </headerFooter>
</worksheet>
</file>

<file path=xl/worksheets/sheet29.xml><?xml version="1.0" encoding="utf-8"?>
<worksheet xmlns="http://schemas.openxmlformats.org/spreadsheetml/2006/main" xmlns:r="http://schemas.openxmlformats.org/officeDocument/2006/relationships">
  <sheetPr>
    <tabColor theme="9" tint="-0.24997000396251678"/>
  </sheetPr>
  <dimension ref="A1:I20"/>
  <sheetViews>
    <sheetView zoomScalePageLayoutView="0" workbookViewId="0" topLeftCell="A1">
      <selection activeCell="A1" sqref="A1"/>
    </sheetView>
  </sheetViews>
  <sheetFormatPr defaultColWidth="9.140625" defaultRowHeight="15"/>
  <cols>
    <col min="1" max="1" width="4.7109375" style="3" customWidth="1"/>
    <col min="2" max="2" width="40.57421875" style="1" customWidth="1"/>
    <col min="3" max="3" width="6.7109375" style="1" customWidth="1"/>
    <col min="4" max="4" width="11.8515625" style="16" customWidth="1"/>
    <col min="5" max="5" width="13.28125" style="16" customWidth="1"/>
    <col min="6" max="6" width="9.140625" style="36" customWidth="1"/>
    <col min="7" max="7" width="12.57421875" style="3" customWidth="1"/>
    <col min="8" max="8" width="13.00390625" style="3" customWidth="1"/>
    <col min="9" max="9" width="34.140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44</v>
      </c>
      <c r="I4" s="5" t="s">
        <v>7</v>
      </c>
    </row>
    <row r="5" spans="1:9" s="2" customFormat="1" ht="71.25">
      <c r="A5" s="10"/>
      <c r="B5" s="11" t="s">
        <v>0</v>
      </c>
      <c r="C5" s="10" t="s">
        <v>9</v>
      </c>
      <c r="D5" s="211" t="s">
        <v>144</v>
      </c>
      <c r="E5" s="17" t="s">
        <v>6</v>
      </c>
      <c r="F5" s="37" t="s">
        <v>1</v>
      </c>
      <c r="G5" s="17" t="s">
        <v>38</v>
      </c>
      <c r="H5" s="10" t="s">
        <v>39</v>
      </c>
      <c r="I5" s="10" t="s">
        <v>40</v>
      </c>
    </row>
    <row r="6" spans="1:9" ht="24.75" customHeight="1">
      <c r="A6" s="7">
        <v>1</v>
      </c>
      <c r="B6" s="8" t="s">
        <v>3</v>
      </c>
      <c r="C6" s="261" t="s">
        <v>10</v>
      </c>
      <c r="D6" s="18">
        <v>104</v>
      </c>
      <c r="E6" s="18">
        <v>28.64</v>
      </c>
      <c r="F6" s="112">
        <f>+E6/D6</f>
        <v>0.2753846153846154</v>
      </c>
      <c r="G6" s="113">
        <v>75.36</v>
      </c>
      <c r="H6" s="113"/>
      <c r="I6" s="9"/>
    </row>
    <row r="7" spans="1:9" ht="24.75" customHeight="1">
      <c r="A7" s="7">
        <v>2</v>
      </c>
      <c r="B7" s="8" t="s">
        <v>4</v>
      </c>
      <c r="C7" s="262"/>
      <c r="D7" s="18">
        <v>0</v>
      </c>
      <c r="E7" s="18"/>
      <c r="F7" s="112"/>
      <c r="G7" s="113"/>
      <c r="H7" s="113"/>
      <c r="I7" s="9"/>
    </row>
    <row r="8" spans="1:9" ht="24.75" customHeight="1">
      <c r="A8" s="7">
        <v>3</v>
      </c>
      <c r="B8" s="8" t="s">
        <v>13</v>
      </c>
      <c r="C8" s="262"/>
      <c r="D8" s="18">
        <v>0</v>
      </c>
      <c r="E8" s="18"/>
      <c r="F8" s="112"/>
      <c r="G8" s="113"/>
      <c r="H8" s="113"/>
      <c r="I8" s="9"/>
    </row>
    <row r="9" spans="1:9" ht="24.75" customHeight="1">
      <c r="A9" s="7">
        <v>4</v>
      </c>
      <c r="B9" s="8" t="s">
        <v>14</v>
      </c>
      <c r="C9" s="263"/>
      <c r="D9" s="18">
        <v>0</v>
      </c>
      <c r="E9" s="18"/>
      <c r="F9" s="112"/>
      <c r="G9" s="113"/>
      <c r="H9" s="113"/>
      <c r="I9" s="9"/>
    </row>
    <row r="10" spans="1:9" s="6" customFormat="1" ht="24.75" customHeight="1">
      <c r="A10" s="12"/>
      <c r="B10" s="11" t="s">
        <v>8</v>
      </c>
      <c r="C10" s="11"/>
      <c r="D10" s="19">
        <f>SUM(D6:D9)</f>
        <v>104</v>
      </c>
      <c r="E10" s="111">
        <f>SUM(E6:E9)</f>
        <v>28.64</v>
      </c>
      <c r="F10" s="100">
        <f>+E10/D10</f>
        <v>0.2753846153846154</v>
      </c>
      <c r="G10" s="111">
        <f>SUM(G6:G9)</f>
        <v>75.36</v>
      </c>
      <c r="H10" s="111">
        <f>SUM(H6:H9)</f>
        <v>0</v>
      </c>
      <c r="I10" s="13"/>
    </row>
    <row r="11" spans="1:9" ht="24.75" customHeight="1">
      <c r="A11" s="7">
        <v>5</v>
      </c>
      <c r="B11" s="109" t="s">
        <v>129</v>
      </c>
      <c r="C11" s="261">
        <v>3</v>
      </c>
      <c r="D11" s="18">
        <v>15</v>
      </c>
      <c r="E11" s="18">
        <v>7.06</v>
      </c>
      <c r="F11" s="112">
        <f>+E11/D11</f>
        <v>0.4706666666666666</v>
      </c>
      <c r="G11" s="113">
        <v>7.06</v>
      </c>
      <c r="H11" s="113">
        <v>0</v>
      </c>
      <c r="I11" s="9"/>
    </row>
    <row r="12" spans="1:9" ht="24.75" customHeight="1">
      <c r="A12" s="7">
        <v>6</v>
      </c>
      <c r="B12" s="8" t="s">
        <v>11</v>
      </c>
      <c r="C12" s="262"/>
      <c r="D12" s="18">
        <v>41</v>
      </c>
      <c r="E12" s="18">
        <v>7.96</v>
      </c>
      <c r="F12" s="112">
        <f>+E12/D12</f>
        <v>0.19414634146341464</v>
      </c>
      <c r="G12" s="113">
        <v>7.96</v>
      </c>
      <c r="H12" s="113">
        <v>29</v>
      </c>
      <c r="I12" s="9"/>
    </row>
    <row r="13" spans="1:9" ht="24.75" customHeight="1">
      <c r="A13" s="7">
        <v>7</v>
      </c>
      <c r="B13" s="8" t="s">
        <v>12</v>
      </c>
      <c r="C13" s="263"/>
      <c r="D13" s="18">
        <v>4</v>
      </c>
      <c r="E13" s="18">
        <v>0</v>
      </c>
      <c r="F13" s="112">
        <f>+E13/D13</f>
        <v>0</v>
      </c>
      <c r="G13" s="113">
        <v>0</v>
      </c>
      <c r="H13" s="113">
        <v>0.5</v>
      </c>
      <c r="I13" s="9"/>
    </row>
    <row r="14" spans="1:9" s="6" customFormat="1" ht="24.75" customHeight="1">
      <c r="A14" s="12"/>
      <c r="B14" s="11" t="s">
        <v>8</v>
      </c>
      <c r="C14" s="11"/>
      <c r="D14" s="19">
        <f>SUM(D11:D13)</f>
        <v>60</v>
      </c>
      <c r="E14" s="111">
        <f>SUM(E11:E13)</f>
        <v>15.02</v>
      </c>
      <c r="F14" s="100">
        <f>+E14/D14</f>
        <v>0.25033333333333335</v>
      </c>
      <c r="G14" s="111">
        <f>SUM(G11:G13)</f>
        <v>15.02</v>
      </c>
      <c r="H14" s="111">
        <f>SUM(H11:H13)</f>
        <v>29.5</v>
      </c>
      <c r="I14" s="13"/>
    </row>
    <row r="15" spans="1:9" ht="24.75" customHeight="1">
      <c r="A15" s="7"/>
      <c r="B15" s="8"/>
      <c r="C15" s="8"/>
      <c r="D15" s="18"/>
      <c r="E15" s="110"/>
      <c r="F15" s="99"/>
      <c r="G15" s="110"/>
      <c r="H15" s="110"/>
      <c r="I15" s="9"/>
    </row>
    <row r="16" spans="1:9" s="6" customFormat="1" ht="24.75" customHeight="1">
      <c r="A16" s="12"/>
      <c r="B16" s="11" t="s">
        <v>5</v>
      </c>
      <c r="C16" s="11"/>
      <c r="D16" s="19">
        <f>+D14+D10</f>
        <v>164</v>
      </c>
      <c r="E16" s="111">
        <f>+E14+E10</f>
        <v>43.66</v>
      </c>
      <c r="F16" s="100">
        <f>+E16/D16</f>
        <v>0.2662195121951219</v>
      </c>
      <c r="G16" s="111">
        <f>+G14+G10</f>
        <v>90.38</v>
      </c>
      <c r="H16" s="111">
        <f>+H14+H10</f>
        <v>29.5</v>
      </c>
      <c r="I16" s="13"/>
    </row>
    <row r="17" ht="15">
      <c r="B17" s="1" t="s">
        <v>15</v>
      </c>
    </row>
    <row r="19" ht="15">
      <c r="I19" s="4" t="s">
        <v>19</v>
      </c>
    </row>
    <row r="20" ht="15">
      <c r="I20" s="4" t="s">
        <v>20</v>
      </c>
    </row>
  </sheetData>
  <sheetProtection/>
  <mergeCells count="4">
    <mergeCell ref="A2:I2"/>
    <mergeCell ref="A3:I3"/>
    <mergeCell ref="C6:C9"/>
    <mergeCell ref="C11:C13"/>
  </mergeCells>
  <printOptions/>
  <pageMargins left="0.7" right="0.25" top="0.5" bottom="0.61" header="0.3" footer="0.3"/>
  <pageSetup horizontalDpi="600" verticalDpi="600" orientation="landscape" paperSize="9" scale="93" r:id="rId1"/>
  <headerFooter>
    <oddFooter>&amp;CPage &amp;P</oddFooter>
  </headerFooter>
</worksheet>
</file>

<file path=xl/worksheets/sheet3.xml><?xml version="1.0" encoding="utf-8"?>
<worksheet xmlns="http://schemas.openxmlformats.org/spreadsheetml/2006/main" xmlns:r="http://schemas.openxmlformats.org/officeDocument/2006/relationships">
  <dimension ref="A1:R25"/>
  <sheetViews>
    <sheetView zoomScalePageLayoutView="0" workbookViewId="0" topLeftCell="A1">
      <pane ySplit="5" topLeftCell="A6" activePane="bottomLeft" state="frozen"/>
      <selection pane="topLeft" activeCell="A1" sqref="A1"/>
      <selection pane="bottomLeft" activeCell="Q21" sqref="Q21"/>
    </sheetView>
  </sheetViews>
  <sheetFormatPr defaultColWidth="9.140625" defaultRowHeight="15"/>
  <cols>
    <col min="1" max="1" width="4.7109375" style="141" customWidth="1"/>
    <col min="2" max="2" width="10.00390625" style="142" customWidth="1"/>
    <col min="3" max="3" width="6.7109375" style="142" hidden="1" customWidth="1"/>
    <col min="4" max="4" width="11.140625" style="143" customWidth="1"/>
    <col min="5" max="5" width="11.421875" style="143" customWidth="1"/>
    <col min="6" max="6" width="10.140625" style="144" customWidth="1"/>
    <col min="7" max="7" width="11.8515625" style="141" customWidth="1"/>
    <col min="8" max="8" width="10.140625" style="141" customWidth="1"/>
    <col min="9" max="9" width="11.57421875" style="141" customWidth="1"/>
    <col min="10" max="10" width="10.28125" style="141" customWidth="1"/>
    <col min="11" max="11" width="0.71875" style="146" hidden="1" customWidth="1"/>
    <col min="12" max="12" width="1.57421875" style="146" hidden="1" customWidth="1"/>
    <col min="13" max="13" width="7.57421875" style="146" hidden="1" customWidth="1"/>
    <col min="14" max="16384" width="9.140625" style="146" customWidth="1"/>
  </cols>
  <sheetData>
    <row r="1" ht="12.75">
      <c r="J1" s="145" t="s">
        <v>18</v>
      </c>
    </row>
    <row r="2" spans="1:11" ht="24.75" customHeight="1">
      <c r="A2" s="252" t="s">
        <v>16</v>
      </c>
      <c r="B2" s="252"/>
      <c r="C2" s="252"/>
      <c r="D2" s="252"/>
      <c r="E2" s="252"/>
      <c r="F2" s="252"/>
      <c r="G2" s="252"/>
      <c r="H2" s="252"/>
      <c r="I2" s="252"/>
      <c r="J2" s="252"/>
      <c r="K2" s="252"/>
    </row>
    <row r="3" spans="1:11" ht="24.75" customHeight="1">
      <c r="A3" s="252" t="s">
        <v>17</v>
      </c>
      <c r="B3" s="252"/>
      <c r="C3" s="252"/>
      <c r="D3" s="252"/>
      <c r="E3" s="252"/>
      <c r="F3" s="252"/>
      <c r="G3" s="252"/>
      <c r="H3" s="252"/>
      <c r="I3" s="252"/>
      <c r="J3" s="252"/>
      <c r="K3" s="252"/>
    </row>
    <row r="4" spans="1:10" ht="14.25">
      <c r="A4" s="78" t="s">
        <v>46</v>
      </c>
      <c r="J4" s="147" t="s">
        <v>7</v>
      </c>
    </row>
    <row r="5" spans="1:11" s="150" customFormat="1" ht="75" customHeight="1">
      <c r="A5" s="148"/>
      <c r="B5" s="148" t="s">
        <v>109</v>
      </c>
      <c r="C5" s="148" t="s">
        <v>9</v>
      </c>
      <c r="D5" s="148" t="s">
        <v>22</v>
      </c>
      <c r="E5" s="148" t="s">
        <v>6</v>
      </c>
      <c r="F5" s="149" t="s">
        <v>107</v>
      </c>
      <c r="G5" s="148" t="s">
        <v>38</v>
      </c>
      <c r="H5" s="148" t="s">
        <v>105</v>
      </c>
      <c r="I5" s="148" t="s">
        <v>39</v>
      </c>
      <c r="J5" s="148" t="s">
        <v>106</v>
      </c>
      <c r="K5" s="148" t="s">
        <v>40</v>
      </c>
    </row>
    <row r="6" spans="1:13" ht="24.75" customHeight="1">
      <c r="A6" s="151">
        <v>1</v>
      </c>
      <c r="B6" s="152" t="s">
        <v>47</v>
      </c>
      <c r="C6" s="152"/>
      <c r="D6" s="153">
        <f>+'Summary 2A'!D6+Summary3!D6</f>
        <v>1263</v>
      </c>
      <c r="E6" s="153">
        <f>+'Summary 2A'!E6+Summary3!E6</f>
        <v>630.0799999999999</v>
      </c>
      <c r="F6" s="167">
        <f>E6/D6*100</f>
        <v>49.88756927949326</v>
      </c>
      <c r="G6" s="153">
        <f>+'Summary 2A'!G6+Summary3!G6</f>
        <v>158.06</v>
      </c>
      <c r="H6" s="168">
        <f>(E6+G6)/D6*100</f>
        <v>62.40221694378463</v>
      </c>
      <c r="I6" s="153">
        <f>+'Summary 2A'!H6+Summary3!H6</f>
        <v>424.16999999999996</v>
      </c>
      <c r="J6" s="170">
        <f>(E6+G6+I6)/D6*100</f>
        <v>95.9865399841647</v>
      </c>
      <c r="K6" s="152"/>
      <c r="M6" s="154">
        <f>+D6-E6-G6-I6</f>
        <v>50.69000000000011</v>
      </c>
    </row>
    <row r="7" spans="1:18" ht="24.75" customHeight="1">
      <c r="A7" s="155">
        <v>2</v>
      </c>
      <c r="B7" s="22" t="s">
        <v>69</v>
      </c>
      <c r="C7" s="22"/>
      <c r="D7" s="39">
        <f>+'Summary 2A'!D7+Summary3!D7</f>
        <v>787</v>
      </c>
      <c r="E7" s="39">
        <f>+'Summary 2A'!E7+Summary3!E7</f>
        <v>303.01</v>
      </c>
      <c r="F7" s="167">
        <f aca="true" t="shared" si="0" ref="F7:F24">E7/D7*100</f>
        <v>38.50190597204574</v>
      </c>
      <c r="G7" s="39">
        <f>+'Summary 2A'!G7+Summary3!G7</f>
        <v>142.95</v>
      </c>
      <c r="H7" s="169">
        <f>(E7+G7)/D7*100</f>
        <v>56.66581956797967</v>
      </c>
      <c r="I7" s="39">
        <f>+'Summary 2A'!H7+Summary3!H7</f>
        <v>341.03999999999996</v>
      </c>
      <c r="J7" s="169">
        <f>(E7+G7+I7)/D7*100</f>
        <v>100</v>
      </c>
      <c r="K7" s="22"/>
      <c r="M7" s="154">
        <f>+D7-E7-G7-I7</f>
        <v>0</v>
      </c>
      <c r="R7" s="154">
        <f>E7+G7</f>
        <v>445.96</v>
      </c>
    </row>
    <row r="8" spans="1:18" ht="24.75" customHeight="1">
      <c r="A8" s="155">
        <v>3</v>
      </c>
      <c r="B8" s="156" t="s">
        <v>49</v>
      </c>
      <c r="C8" s="156"/>
      <c r="D8" s="39">
        <f>+'Summary 2A'!D8+Summary3!D8</f>
        <v>2621</v>
      </c>
      <c r="E8" s="39">
        <f>+'Summary 2A'!E8+Summary3!E8</f>
        <v>817</v>
      </c>
      <c r="F8" s="167">
        <f t="shared" si="0"/>
        <v>31.171308660816482</v>
      </c>
      <c r="G8" s="39">
        <f>+'Summary 2A'!G8+Summary3!G8</f>
        <v>247</v>
      </c>
      <c r="H8" s="169">
        <f aca="true" t="shared" si="1" ref="H8:H24">(E8+G8)/D8*100</f>
        <v>40.5951926745517</v>
      </c>
      <c r="I8" s="39">
        <f>+'Summary 2A'!H8+Summary3!H8</f>
        <v>1357</v>
      </c>
      <c r="J8" s="169">
        <f aca="true" t="shared" si="2" ref="J8:J24">(E8+G8+I8)/D8*100</f>
        <v>92.36932468523464</v>
      </c>
      <c r="K8" s="156"/>
      <c r="M8" s="154">
        <f>+D8-E8-G8-I8</f>
        <v>200</v>
      </c>
      <c r="R8" s="146">
        <f>R7/D7</f>
        <v>0.5666581956797967</v>
      </c>
    </row>
    <row r="9" spans="1:18" ht="24.75" customHeight="1">
      <c r="A9" s="155">
        <v>4</v>
      </c>
      <c r="B9" s="156" t="s">
        <v>50</v>
      </c>
      <c r="C9" s="156"/>
      <c r="D9" s="39">
        <f>+'Summary 2A'!D9+Summary3!D9</f>
        <v>1251</v>
      </c>
      <c r="E9" s="39">
        <f>+'Summary 2A'!E9+Summary3!E9</f>
        <v>302.44</v>
      </c>
      <c r="F9" s="167">
        <f t="shared" si="0"/>
        <v>24.17585931254996</v>
      </c>
      <c r="G9" s="39">
        <f>+'Summary 2A'!G9+Summary3!G9</f>
        <v>200.59</v>
      </c>
      <c r="H9" s="169">
        <f t="shared" si="1"/>
        <v>40.21023181454836</v>
      </c>
      <c r="I9" s="39">
        <f>+'Summary 2A'!H9+Summary3!H9</f>
        <v>352.03999999999996</v>
      </c>
      <c r="J9" s="169">
        <f t="shared" si="2"/>
        <v>68.35091926458833</v>
      </c>
      <c r="K9" s="156"/>
      <c r="M9" s="154">
        <f aca="true" t="shared" si="3" ref="M9:M25">+D9-E9-G9-I9</f>
        <v>395.92999999999995</v>
      </c>
      <c r="R9" s="146">
        <f>R8*100</f>
        <v>56.66581956797967</v>
      </c>
    </row>
    <row r="10" spans="1:13" s="157" customFormat="1" ht="24.75" customHeight="1">
      <c r="A10" s="155">
        <v>5</v>
      </c>
      <c r="B10" s="156" t="s">
        <v>51</v>
      </c>
      <c r="C10" s="156"/>
      <c r="D10" s="39">
        <f>+'Summary 2A'!D10+Summary3!D10</f>
        <v>1545</v>
      </c>
      <c r="E10" s="39">
        <f>+'Summary 2A'!E10+Summary3!E10</f>
        <v>816.03</v>
      </c>
      <c r="F10" s="167">
        <f t="shared" si="0"/>
        <v>52.81747572815534</v>
      </c>
      <c r="G10" s="39">
        <f>+'Summary 2A'!G10+Summary3!G10</f>
        <v>313</v>
      </c>
      <c r="H10" s="169">
        <f t="shared" si="1"/>
        <v>73.07637540453075</v>
      </c>
      <c r="I10" s="39">
        <f>+'Summary 2A'!H10+Summary3!H10</f>
        <v>310.41999999999996</v>
      </c>
      <c r="J10" s="169">
        <f t="shared" si="2"/>
        <v>93.16828478964399</v>
      </c>
      <c r="K10" s="156"/>
      <c r="M10" s="154">
        <f t="shared" si="3"/>
        <v>105.55000000000007</v>
      </c>
    </row>
    <row r="11" spans="1:18" ht="24.75" customHeight="1">
      <c r="A11" s="155">
        <v>6</v>
      </c>
      <c r="B11" s="158" t="s">
        <v>70</v>
      </c>
      <c r="C11" s="158"/>
      <c r="D11" s="39">
        <f>+'Summary 2A'!D11+Summary3!D11</f>
        <v>2417</v>
      </c>
      <c r="E11" s="39">
        <f>+'Summary 2A'!E11+Summary3!E11</f>
        <v>851.2</v>
      </c>
      <c r="F11" s="167">
        <f t="shared" si="0"/>
        <v>35.217211419114605</v>
      </c>
      <c r="G11" s="39">
        <f>+'Summary 2A'!G11+Summary3!G11</f>
        <v>107.1</v>
      </c>
      <c r="H11" s="169">
        <f t="shared" si="1"/>
        <v>39.648324369052546</v>
      </c>
      <c r="I11" s="39">
        <f>+'Summary 2A'!H11+Summary3!H11</f>
        <v>1450.1999999999998</v>
      </c>
      <c r="J11" s="169">
        <f t="shared" si="2"/>
        <v>99.64832436905255</v>
      </c>
      <c r="K11" s="158"/>
      <c r="M11" s="154">
        <f t="shared" si="3"/>
        <v>8.500000000000227</v>
      </c>
      <c r="R11" s="157"/>
    </row>
    <row r="12" spans="1:18" ht="24.75" customHeight="1">
      <c r="A12" s="155">
        <v>7</v>
      </c>
      <c r="B12" s="156" t="s">
        <v>53</v>
      </c>
      <c r="C12" s="156"/>
      <c r="D12" s="39">
        <f>+'Summary 2A'!D12+Summary3!D12</f>
        <v>1409</v>
      </c>
      <c r="E12" s="39">
        <f>+'Summary 2A'!E12+Summary3!E12</f>
        <v>593.36</v>
      </c>
      <c r="F12" s="167">
        <f t="shared" si="0"/>
        <v>42.11213626685593</v>
      </c>
      <c r="G12" s="39">
        <f>+'Summary 2A'!G12+Summary3!G12</f>
        <v>796.71</v>
      </c>
      <c r="H12" s="169">
        <f t="shared" si="1"/>
        <v>98.65649396735274</v>
      </c>
      <c r="I12" s="39">
        <f>+'Summary 2A'!H12+Summary3!H12</f>
        <v>20</v>
      </c>
      <c r="J12" s="169">
        <f>(E12+G12+I12)/D12*100</f>
        <v>100.07594038325054</v>
      </c>
      <c r="K12" s="156"/>
      <c r="M12" s="154">
        <f t="shared" si="3"/>
        <v>-1.07000000000005</v>
      </c>
      <c r="R12" s="157"/>
    </row>
    <row r="13" spans="1:13" ht="24.75" customHeight="1">
      <c r="A13" s="155">
        <v>8</v>
      </c>
      <c r="B13" s="156" t="s">
        <v>54</v>
      </c>
      <c r="C13" s="156"/>
      <c r="D13" s="39">
        <f>+'Summary 2A'!D13+Summary3!D13</f>
        <v>753</v>
      </c>
      <c r="E13" s="39">
        <f>+'Summary 2A'!E13+Summary3!E13</f>
        <v>436.3</v>
      </c>
      <c r="F13" s="167">
        <f t="shared" si="0"/>
        <v>57.94156706507304</v>
      </c>
      <c r="G13" s="39">
        <f>+'Summary 2A'!G13+Summary3!G13</f>
        <v>34</v>
      </c>
      <c r="H13" s="169">
        <f t="shared" si="1"/>
        <v>62.45683930942896</v>
      </c>
      <c r="I13" s="39">
        <f>+'Summary 2A'!H13+Summary3!H13</f>
        <v>51.2</v>
      </c>
      <c r="J13" s="169">
        <f t="shared" si="2"/>
        <v>69.25630810092962</v>
      </c>
      <c r="K13" s="156"/>
      <c r="M13" s="154">
        <f t="shared" si="3"/>
        <v>231.5</v>
      </c>
    </row>
    <row r="14" spans="1:13" s="157" customFormat="1" ht="24.75" customHeight="1">
      <c r="A14" s="155">
        <v>9</v>
      </c>
      <c r="B14" s="156" t="s">
        <v>55</v>
      </c>
      <c r="C14" s="156"/>
      <c r="D14" s="39">
        <f>+'Summary 2A'!D14+Summary3!D14</f>
        <v>1147</v>
      </c>
      <c r="E14" s="39">
        <f>+'Summary 2A'!E14+Summary3!E14</f>
        <v>387.98</v>
      </c>
      <c r="F14" s="167">
        <f t="shared" si="0"/>
        <v>33.8256320836966</v>
      </c>
      <c r="G14" s="39">
        <f>+'Summary 2A'!G14+Summary3!G14</f>
        <v>380</v>
      </c>
      <c r="H14" s="169">
        <f t="shared" si="1"/>
        <v>66.95553618134264</v>
      </c>
      <c r="I14" s="39">
        <f>+'Summary 2A'!H14+Summary3!H14</f>
        <v>296</v>
      </c>
      <c r="J14" s="169">
        <f t="shared" si="2"/>
        <v>92.76198779424585</v>
      </c>
      <c r="K14" s="156"/>
      <c r="M14" s="154">
        <f t="shared" si="3"/>
        <v>83.01999999999998</v>
      </c>
    </row>
    <row r="15" spans="1:13" ht="24.75" customHeight="1">
      <c r="A15" s="155">
        <v>10</v>
      </c>
      <c r="B15" s="156" t="s">
        <v>56</v>
      </c>
      <c r="C15" s="156"/>
      <c r="D15" s="39">
        <f>+'Summary 2A'!D15+Summary3!D15</f>
        <v>870</v>
      </c>
      <c r="E15" s="39">
        <f>+'Summary 2A'!E15+Summary3!E15</f>
        <v>106.25999999999999</v>
      </c>
      <c r="F15" s="167">
        <f t="shared" si="0"/>
        <v>12.213793103448275</v>
      </c>
      <c r="G15" s="39">
        <f>+'Summary 2A'!G15+Summary3!G15</f>
        <v>266.91</v>
      </c>
      <c r="H15" s="169">
        <f t="shared" si="1"/>
        <v>42.893103448275866</v>
      </c>
      <c r="I15" s="39">
        <f>+'Summary 2A'!H15+Summary3!H15</f>
        <v>205.99</v>
      </c>
      <c r="J15" s="169">
        <f t="shared" si="2"/>
        <v>66.57011494252875</v>
      </c>
      <c r="K15" s="156"/>
      <c r="M15" s="154">
        <f t="shared" si="3"/>
        <v>290.84</v>
      </c>
    </row>
    <row r="16" spans="1:13" s="157" customFormat="1" ht="24.75" customHeight="1">
      <c r="A16" s="155">
        <v>11</v>
      </c>
      <c r="B16" s="156" t="s">
        <v>57</v>
      </c>
      <c r="C16" s="156"/>
      <c r="D16" s="39">
        <f>+'Summary 2A'!D16+Summary3!D16</f>
        <v>702</v>
      </c>
      <c r="E16" s="39">
        <f>+'Summary 2A'!E16+Summary3!E16</f>
        <v>165.51</v>
      </c>
      <c r="F16" s="167">
        <f t="shared" si="0"/>
        <v>23.576923076923077</v>
      </c>
      <c r="G16" s="39">
        <f>+'Summary 2A'!G16+Summary3!G16</f>
        <v>348.8</v>
      </c>
      <c r="H16" s="169">
        <f t="shared" si="1"/>
        <v>73.26353276353275</v>
      </c>
      <c r="I16" s="39">
        <f>+'Summary 2A'!H16+Summary3!H16</f>
        <v>187.69</v>
      </c>
      <c r="J16" s="169">
        <f t="shared" si="2"/>
        <v>100</v>
      </c>
      <c r="K16" s="156"/>
      <c r="M16" s="154">
        <f t="shared" si="3"/>
        <v>0</v>
      </c>
    </row>
    <row r="17" spans="1:13" ht="24.75" customHeight="1">
      <c r="A17" s="155">
        <v>12</v>
      </c>
      <c r="B17" s="156" t="s">
        <v>58</v>
      </c>
      <c r="C17" s="156"/>
      <c r="D17" s="39">
        <f>+'Summary 2A'!D17+Summary3!D17</f>
        <v>1216</v>
      </c>
      <c r="E17" s="39">
        <f>+'Summary 2A'!E17+Summary3!E17</f>
        <v>404.68</v>
      </c>
      <c r="F17" s="167">
        <f t="shared" si="0"/>
        <v>33.2796052631579</v>
      </c>
      <c r="G17" s="39">
        <f>+'Summary 2A'!G17+Summary3!G17</f>
        <v>180.1</v>
      </c>
      <c r="H17" s="169">
        <f t="shared" si="1"/>
        <v>48.09046052631579</v>
      </c>
      <c r="I17" s="39">
        <f>+'Summary 2A'!H17+Summary3!H17</f>
        <v>419.33</v>
      </c>
      <c r="J17" s="169">
        <f t="shared" si="2"/>
        <v>82.57483552631578</v>
      </c>
      <c r="K17" s="156"/>
      <c r="M17" s="154">
        <f t="shared" si="3"/>
        <v>211.88999999999993</v>
      </c>
    </row>
    <row r="18" spans="1:13" ht="24.75" customHeight="1">
      <c r="A18" s="155">
        <v>13</v>
      </c>
      <c r="B18" s="156" t="s">
        <v>59</v>
      </c>
      <c r="C18" s="156"/>
      <c r="D18" s="39">
        <f>+'Summary 2A'!D18+Summary3!D18</f>
        <v>421</v>
      </c>
      <c r="E18" s="39">
        <f>+'Summary 2A'!E18+Summary3!E18</f>
        <v>182.63</v>
      </c>
      <c r="F18" s="167">
        <f t="shared" si="0"/>
        <v>43.38004750593824</v>
      </c>
      <c r="G18" s="39">
        <f>+'Summary 2A'!G18+Summary3!G18</f>
        <v>112</v>
      </c>
      <c r="H18" s="169">
        <f t="shared" si="1"/>
        <v>69.9833729216152</v>
      </c>
      <c r="I18" s="39">
        <f>+'Summary 2A'!H18+Summary3!H18</f>
        <v>125.97</v>
      </c>
      <c r="J18" s="169">
        <f t="shared" si="2"/>
        <v>99.90498812351545</v>
      </c>
      <c r="K18" s="156"/>
      <c r="M18" s="154">
        <f t="shared" si="3"/>
        <v>0.4000000000000057</v>
      </c>
    </row>
    <row r="19" spans="1:13" ht="24.75" customHeight="1">
      <c r="A19" s="155">
        <v>14</v>
      </c>
      <c r="B19" s="156" t="s">
        <v>60</v>
      </c>
      <c r="C19" s="156"/>
      <c r="D19" s="39">
        <f>+'Summary 2A'!D19+Summary3!D19</f>
        <v>825</v>
      </c>
      <c r="E19" s="39">
        <f>+'Summary 2A'!E19+Summary3!E19</f>
        <v>160.57999999999998</v>
      </c>
      <c r="F19" s="167">
        <f t="shared" si="0"/>
        <v>19.46424242424242</v>
      </c>
      <c r="G19" s="39">
        <f>+'Summary 2A'!G19+Summary3!G19</f>
        <v>134.796</v>
      </c>
      <c r="H19" s="169">
        <f t="shared" si="1"/>
        <v>35.80315151515151</v>
      </c>
      <c r="I19" s="39">
        <f>+'Summary 2A'!H19+Summary3!H19</f>
        <v>186.05599999999998</v>
      </c>
      <c r="J19" s="169">
        <f t="shared" si="2"/>
        <v>58.35539393939393</v>
      </c>
      <c r="K19" s="156"/>
      <c r="M19" s="154">
        <f t="shared" si="3"/>
        <v>343.56800000000004</v>
      </c>
    </row>
    <row r="20" spans="1:15" ht="24.75" customHeight="1">
      <c r="A20" s="155">
        <v>15</v>
      </c>
      <c r="B20" s="156" t="s">
        <v>61</v>
      </c>
      <c r="C20" s="156"/>
      <c r="D20" s="39">
        <f>+'Summary 2A'!D20+Summary3!D20</f>
        <v>515</v>
      </c>
      <c r="E20" s="39">
        <f>+'Summary 2A'!E20+Summary3!E20</f>
        <v>318.38</v>
      </c>
      <c r="F20" s="167">
        <f t="shared" si="0"/>
        <v>61.821359223300966</v>
      </c>
      <c r="G20" s="39">
        <f>+'Summary 2A'!G20+Summary3!G20</f>
        <v>97.35</v>
      </c>
      <c r="H20" s="169">
        <f t="shared" si="1"/>
        <v>80.7242718446602</v>
      </c>
      <c r="I20" s="39">
        <f>+'Summary 2A'!H20+Summary3!H20</f>
        <v>99.27000000000001</v>
      </c>
      <c r="J20" s="169">
        <f t="shared" si="2"/>
        <v>100</v>
      </c>
      <c r="K20" s="156"/>
      <c r="M20" s="154">
        <f t="shared" si="3"/>
        <v>0</v>
      </c>
      <c r="O20" s="159"/>
    </row>
    <row r="21" spans="1:13" ht="24.75" customHeight="1">
      <c r="A21" s="155">
        <v>16</v>
      </c>
      <c r="B21" s="156" t="s">
        <v>62</v>
      </c>
      <c r="C21" s="156"/>
      <c r="D21" s="39">
        <f>+'Summary 2A'!D21+Summary3!D21</f>
        <v>435</v>
      </c>
      <c r="E21" s="39">
        <f>+'Summary 2A'!E21+Summary3!E21</f>
        <v>74</v>
      </c>
      <c r="F21" s="167">
        <f t="shared" si="0"/>
        <v>17.011494252873565</v>
      </c>
      <c r="G21" s="39">
        <f>+'Summary 2A'!G21+Summary3!G21</f>
        <v>168</v>
      </c>
      <c r="H21" s="169">
        <f t="shared" si="1"/>
        <v>55.632183908045974</v>
      </c>
      <c r="I21" s="39">
        <f>+'Summary 2A'!H21+Summary3!H21</f>
        <v>145.6</v>
      </c>
      <c r="J21" s="169">
        <f t="shared" si="2"/>
        <v>89.10344827586208</v>
      </c>
      <c r="K21" s="156"/>
      <c r="M21" s="154">
        <f t="shared" si="3"/>
        <v>47.400000000000006</v>
      </c>
    </row>
    <row r="22" spans="1:13" ht="24.75" customHeight="1">
      <c r="A22" s="155">
        <v>17</v>
      </c>
      <c r="B22" s="156" t="s">
        <v>63</v>
      </c>
      <c r="C22" s="156"/>
      <c r="D22" s="39">
        <f>+'Summary 2A'!D22+Summary3!D22</f>
        <v>510</v>
      </c>
      <c r="E22" s="39">
        <f>+'Summary 2A'!E22+Summary3!E22</f>
        <v>1.84</v>
      </c>
      <c r="F22" s="167">
        <f t="shared" si="0"/>
        <v>0.36078431372549025</v>
      </c>
      <c r="G22" s="39">
        <f>+'Summary 2A'!G22+Summary3!G22</f>
        <v>3.62</v>
      </c>
      <c r="H22" s="169">
        <f t="shared" si="1"/>
        <v>1.0705882352941176</v>
      </c>
      <c r="I22" s="39">
        <f>+'Summary 2A'!H22+Summary3!H22</f>
        <v>4.54</v>
      </c>
      <c r="J22" s="169">
        <f t="shared" si="2"/>
        <v>1.9607843137254901</v>
      </c>
      <c r="K22" s="156"/>
      <c r="M22" s="154">
        <f t="shared" si="3"/>
        <v>500</v>
      </c>
    </row>
    <row r="23" spans="1:13" ht="24.75" customHeight="1">
      <c r="A23" s="155">
        <v>18</v>
      </c>
      <c r="B23" s="156" t="s">
        <v>64</v>
      </c>
      <c r="C23" s="156"/>
      <c r="D23" s="39">
        <f>+'Summary 2A'!D23+Summary3!D23</f>
        <v>157</v>
      </c>
      <c r="E23" s="39">
        <f>+'Summary 2A'!E23+Summary3!E23</f>
        <v>34.7</v>
      </c>
      <c r="F23" s="167">
        <f t="shared" si="0"/>
        <v>22.101910828025478</v>
      </c>
      <c r="G23" s="39">
        <f>+'Summary 2A'!G23+Summary3!G23</f>
        <v>0</v>
      </c>
      <c r="H23" s="169">
        <f t="shared" si="1"/>
        <v>22.101910828025478</v>
      </c>
      <c r="I23" s="39">
        <f>+'Summary 2A'!H23+Summary3!H23</f>
        <v>122.3</v>
      </c>
      <c r="J23" s="169">
        <f t="shared" si="2"/>
        <v>100</v>
      </c>
      <c r="K23" s="156"/>
      <c r="M23" s="154">
        <f t="shared" si="3"/>
        <v>0</v>
      </c>
    </row>
    <row r="24" spans="1:13" ht="24.75" customHeight="1">
      <c r="A24" s="160">
        <v>19</v>
      </c>
      <c r="B24" s="161" t="s">
        <v>65</v>
      </c>
      <c r="C24" s="161"/>
      <c r="D24" s="162">
        <f>+'Summary 2A'!D24+Summary3!D24</f>
        <v>164</v>
      </c>
      <c r="E24" s="162">
        <f>+'Summary 2A'!E24+Summary3!E24</f>
        <v>43.66</v>
      </c>
      <c r="F24" s="167">
        <f t="shared" si="0"/>
        <v>26.62195121951219</v>
      </c>
      <c r="G24" s="162">
        <f>+'Summary 2A'!G24+Summary3!G24</f>
        <v>90.38</v>
      </c>
      <c r="H24" s="169">
        <f t="shared" si="1"/>
        <v>81.73170731707316</v>
      </c>
      <c r="I24" s="162">
        <f>+'Summary 2A'!H24+Summary3!H24</f>
        <v>29.5</v>
      </c>
      <c r="J24" s="171">
        <f t="shared" si="2"/>
        <v>99.71951219512195</v>
      </c>
      <c r="K24" s="161"/>
      <c r="M24" s="154">
        <f t="shared" si="3"/>
        <v>0.46000000000000796</v>
      </c>
    </row>
    <row r="25" spans="1:13" s="157" customFormat="1" ht="24.75" customHeight="1">
      <c r="A25" s="258" t="s">
        <v>5</v>
      </c>
      <c r="B25" s="259"/>
      <c r="C25" s="163"/>
      <c r="D25" s="172">
        <f aca="true" t="shared" si="4" ref="D25:I25">SUM(D6:D24)</f>
        <v>19008</v>
      </c>
      <c r="E25" s="172">
        <f t="shared" si="4"/>
        <v>6629.64</v>
      </c>
      <c r="F25" s="164">
        <f>E25/D25*100</f>
        <v>34.87815656565657</v>
      </c>
      <c r="G25" s="172">
        <f>SUM(G6:G24)</f>
        <v>3781.3659999999995</v>
      </c>
      <c r="H25" s="163">
        <f>(E25+G25)/D25*100</f>
        <v>54.77170664983164</v>
      </c>
      <c r="I25" s="172">
        <f t="shared" si="4"/>
        <v>6128.316</v>
      </c>
      <c r="J25" s="165">
        <f>(E25+G25+I25)/D25*100</f>
        <v>87.01242634680135</v>
      </c>
      <c r="K25" s="166"/>
      <c r="M25" s="154">
        <f t="shared" si="3"/>
        <v>2468.678000000001</v>
      </c>
    </row>
  </sheetData>
  <sheetProtection/>
  <mergeCells count="3">
    <mergeCell ref="A2:K2"/>
    <mergeCell ref="A3:K3"/>
    <mergeCell ref="A25:B25"/>
  </mergeCells>
  <printOptions/>
  <pageMargins left="0.62" right="0.18" top="0.66" bottom="0.75" header="0.3" footer="0.3"/>
  <pageSetup orientation="portrait" paperSize="9" scale="95" r:id="rId1"/>
  <headerFooter>
    <oddFooter>&amp;L&amp;8&amp;F&amp;A&amp;R&amp;8&amp;D&amp;T</oddFooter>
  </headerFooter>
</worksheet>
</file>

<file path=xl/worksheets/sheet30.xml><?xml version="1.0" encoding="utf-8"?>
<worksheet xmlns="http://schemas.openxmlformats.org/spreadsheetml/2006/main" xmlns:r="http://schemas.openxmlformats.org/officeDocument/2006/relationships">
  <sheetPr>
    <tabColor rgb="FFFF0000"/>
  </sheetPr>
  <dimension ref="A1:T38"/>
  <sheetViews>
    <sheetView zoomScalePageLayoutView="0" workbookViewId="0" topLeftCell="A1">
      <selection activeCell="A1" sqref="A1"/>
    </sheetView>
  </sheetViews>
  <sheetFormatPr defaultColWidth="9.140625" defaultRowHeight="15"/>
  <cols>
    <col min="1" max="1" width="9.421875" style="141" customWidth="1"/>
    <col min="2" max="2" width="11.421875" style="142" customWidth="1"/>
    <col min="3" max="4" width="13.28125" style="143" customWidth="1"/>
    <col min="5" max="5" width="11.8515625" style="144" customWidth="1"/>
    <col min="6" max="8" width="13.28125" style="141" customWidth="1"/>
    <col min="9" max="9" width="0.71875" style="146" hidden="1" customWidth="1"/>
    <col min="10" max="10" width="1.57421875" style="146" hidden="1" customWidth="1"/>
    <col min="11" max="11" width="7.57421875" style="146" hidden="1" customWidth="1"/>
    <col min="12" max="16384" width="9.140625" style="146" customWidth="1"/>
  </cols>
  <sheetData>
    <row r="1" ht="12.75">
      <c r="H1" s="145" t="s">
        <v>18</v>
      </c>
    </row>
    <row r="2" spans="1:9" ht="15" customHeight="1">
      <c r="A2" s="252" t="s">
        <v>16</v>
      </c>
      <c r="B2" s="252"/>
      <c r="C2" s="252"/>
      <c r="D2" s="252"/>
      <c r="E2" s="252"/>
      <c r="F2" s="252"/>
      <c r="G2" s="252"/>
      <c r="H2" s="252"/>
      <c r="I2" s="252"/>
    </row>
    <row r="3" spans="1:9" ht="15" customHeight="1">
      <c r="A3" s="252" t="s">
        <v>17</v>
      </c>
      <c r="B3" s="252"/>
      <c r="C3" s="252"/>
      <c r="D3" s="252"/>
      <c r="E3" s="252"/>
      <c r="F3" s="252"/>
      <c r="G3" s="252"/>
      <c r="H3" s="252"/>
      <c r="I3" s="252"/>
    </row>
    <row r="4" spans="1:8" ht="14.25">
      <c r="A4" s="78" t="s">
        <v>46</v>
      </c>
      <c r="H4" s="147"/>
    </row>
    <row r="5" spans="1:9" s="150" customFormat="1" ht="62.25" customHeight="1">
      <c r="A5" s="253" t="s">
        <v>109</v>
      </c>
      <c r="B5" s="254"/>
      <c r="C5" s="179" t="s">
        <v>22</v>
      </c>
      <c r="D5" s="179" t="s">
        <v>6</v>
      </c>
      <c r="E5" s="185" t="s">
        <v>119</v>
      </c>
      <c r="F5" s="179" t="s">
        <v>38</v>
      </c>
      <c r="G5" s="179" t="s">
        <v>39</v>
      </c>
      <c r="H5" s="179" t="s">
        <v>115</v>
      </c>
      <c r="I5" s="148" t="s">
        <v>40</v>
      </c>
    </row>
    <row r="6" spans="1:20" s="150" customFormat="1" ht="15" customHeight="1">
      <c r="A6" s="188"/>
      <c r="B6" s="186"/>
      <c r="C6" s="178" t="s">
        <v>118</v>
      </c>
      <c r="D6" s="178" t="s">
        <v>118</v>
      </c>
      <c r="E6" s="190" t="s">
        <v>1</v>
      </c>
      <c r="F6" s="178" t="s">
        <v>118</v>
      </c>
      <c r="G6" s="178" t="s">
        <v>118</v>
      </c>
      <c r="H6" s="178" t="s">
        <v>118</v>
      </c>
      <c r="I6" s="179"/>
      <c r="N6" s="150">
        <v>6550</v>
      </c>
      <c r="P6" s="150">
        <v>31000</v>
      </c>
      <c r="T6" s="150">
        <v>150</v>
      </c>
    </row>
    <row r="7" spans="1:20" s="150" customFormat="1" ht="15" customHeight="1">
      <c r="A7" s="188"/>
      <c r="B7" s="186"/>
      <c r="C7" s="178" t="s">
        <v>110</v>
      </c>
      <c r="D7" s="178" t="s">
        <v>111</v>
      </c>
      <c r="E7" s="178" t="s">
        <v>112</v>
      </c>
      <c r="F7" s="178" t="s">
        <v>113</v>
      </c>
      <c r="G7" s="178" t="s">
        <v>114</v>
      </c>
      <c r="H7" s="178" t="s">
        <v>116</v>
      </c>
      <c r="I7" s="179"/>
      <c r="N7" s="150">
        <v>4125</v>
      </c>
      <c r="P7" s="150">
        <v>6600</v>
      </c>
      <c r="T7" s="150">
        <v>775</v>
      </c>
    </row>
    <row r="8" spans="1:20" s="150" customFormat="1" ht="14.25" customHeight="1">
      <c r="A8" s="189"/>
      <c r="B8" s="187"/>
      <c r="C8" s="183"/>
      <c r="D8" s="183"/>
      <c r="E8" s="184"/>
      <c r="F8" s="183"/>
      <c r="G8" s="183"/>
      <c r="H8" s="183" t="s">
        <v>117</v>
      </c>
      <c r="I8" s="179"/>
      <c r="N8" s="150">
        <v>6450</v>
      </c>
      <c r="P8" s="150">
        <v>116600</v>
      </c>
      <c r="T8" s="150">
        <v>220</v>
      </c>
    </row>
    <row r="9" spans="1:20" ht="24.75" customHeight="1">
      <c r="A9" s="151">
        <v>1</v>
      </c>
      <c r="B9" s="191" t="s">
        <v>47</v>
      </c>
      <c r="C9" s="181">
        <f>1263+25</f>
        <v>1288</v>
      </c>
      <c r="D9" s="181">
        <v>787</v>
      </c>
      <c r="E9" s="182">
        <f>D9/C9*100</f>
        <v>61.10248447204969</v>
      </c>
      <c r="F9" s="181">
        <v>158.06</v>
      </c>
      <c r="G9" s="181">
        <v>424.16999999999996</v>
      </c>
      <c r="H9" s="181">
        <f>+G9+F9</f>
        <v>582.23</v>
      </c>
      <c r="I9" s="152"/>
      <c r="K9" s="154">
        <f aca="true" t="shared" si="0" ref="K9:K29">+C9-D9-F9-G9</f>
        <v>-81.22999999999996</v>
      </c>
      <c r="N9" s="146">
        <v>2300</v>
      </c>
      <c r="P9" s="146">
        <v>53565</v>
      </c>
      <c r="T9" s="146">
        <v>475</v>
      </c>
    </row>
    <row r="10" spans="1:20" ht="24.75" customHeight="1">
      <c r="A10" s="155">
        <v>2</v>
      </c>
      <c r="B10" s="192" t="s">
        <v>69</v>
      </c>
      <c r="C10" s="39">
        <v>787</v>
      </c>
      <c r="D10" s="39">
        <v>406</v>
      </c>
      <c r="E10" s="167">
        <f aca="true" t="shared" si="1" ref="E10:E28">D10/C10*100</f>
        <v>51.588310038119445</v>
      </c>
      <c r="F10" s="39">
        <v>142.95</v>
      </c>
      <c r="G10" s="39">
        <v>341.03999999999996</v>
      </c>
      <c r="H10" s="39">
        <f>+G10+F10</f>
        <v>483.98999999999995</v>
      </c>
      <c r="I10" s="22"/>
      <c r="K10" s="154">
        <f t="shared" si="0"/>
        <v>-102.98999999999995</v>
      </c>
      <c r="N10" s="146">
        <v>25000</v>
      </c>
      <c r="P10" s="146">
        <v>4150</v>
      </c>
      <c r="T10" s="146">
        <v>310</v>
      </c>
    </row>
    <row r="11" spans="1:20" ht="24.75" customHeight="1">
      <c r="A11" s="155">
        <v>3</v>
      </c>
      <c r="B11" s="193" t="s">
        <v>49</v>
      </c>
      <c r="C11" s="39">
        <f>2621-600</f>
        <v>2021</v>
      </c>
      <c r="D11" s="39">
        <v>796.2</v>
      </c>
      <c r="E11" s="167">
        <f t="shared" si="1"/>
        <v>39.396338446313706</v>
      </c>
      <c r="F11" s="39">
        <v>247</v>
      </c>
      <c r="G11" s="39">
        <v>1357</v>
      </c>
      <c r="H11" s="39">
        <f aca="true" t="shared" si="2" ref="H11:H27">+G11+F11</f>
        <v>1604</v>
      </c>
      <c r="I11" s="156"/>
      <c r="K11" s="154">
        <f t="shared" si="0"/>
        <v>-379.20000000000005</v>
      </c>
      <c r="N11" s="146">
        <v>3250</v>
      </c>
      <c r="P11" s="146">
        <v>3600</v>
      </c>
      <c r="T11" s="146">
        <v>125</v>
      </c>
    </row>
    <row r="12" spans="1:20" ht="24.75" customHeight="1">
      <c r="A12" s="155">
        <v>4</v>
      </c>
      <c r="B12" s="193" t="s">
        <v>50</v>
      </c>
      <c r="C12" s="39">
        <v>1251</v>
      </c>
      <c r="D12" s="39">
        <v>358.67</v>
      </c>
      <c r="E12" s="167">
        <f t="shared" si="1"/>
        <v>28.67066346922462</v>
      </c>
      <c r="F12" s="39">
        <v>200.59</v>
      </c>
      <c r="G12" s="39">
        <v>352.03999999999996</v>
      </c>
      <c r="H12" s="39">
        <f t="shared" si="2"/>
        <v>552.63</v>
      </c>
      <c r="I12" s="156"/>
      <c r="K12" s="154">
        <f t="shared" si="0"/>
        <v>339.69999999999993</v>
      </c>
      <c r="N12" s="146">
        <f>SUM(N6:N11)</f>
        <v>47675</v>
      </c>
      <c r="P12" s="146">
        <v>14820</v>
      </c>
      <c r="T12" s="146">
        <v>330</v>
      </c>
    </row>
    <row r="13" spans="1:20" s="157" customFormat="1" ht="24.75" customHeight="1">
      <c r="A13" s="155">
        <v>5</v>
      </c>
      <c r="B13" s="193" t="s">
        <v>51</v>
      </c>
      <c r="C13" s="39">
        <v>1545</v>
      </c>
      <c r="D13" s="39">
        <v>878.5</v>
      </c>
      <c r="E13" s="167">
        <f t="shared" si="1"/>
        <v>56.860841423948216</v>
      </c>
      <c r="F13" s="39">
        <v>313</v>
      </c>
      <c r="G13" s="39">
        <v>310.41999999999996</v>
      </c>
      <c r="H13" s="39">
        <f t="shared" si="2"/>
        <v>623.42</v>
      </c>
      <c r="I13" s="156"/>
      <c r="K13" s="154">
        <f t="shared" si="0"/>
        <v>43.08000000000004</v>
      </c>
      <c r="P13" s="157">
        <v>41800</v>
      </c>
      <c r="T13" s="157">
        <v>275</v>
      </c>
    </row>
    <row r="14" spans="1:20" ht="24.75" customHeight="1">
      <c r="A14" s="155">
        <v>6</v>
      </c>
      <c r="B14" s="194" t="s">
        <v>70</v>
      </c>
      <c r="C14" s="39">
        <f>2417-200+200</f>
        <v>2417</v>
      </c>
      <c r="D14" s="39">
        <v>606</v>
      </c>
      <c r="E14" s="167">
        <f t="shared" si="1"/>
        <v>25.072403806371536</v>
      </c>
      <c r="F14" s="39">
        <v>107.1</v>
      </c>
      <c r="G14" s="39">
        <v>1450.1999999999998</v>
      </c>
      <c r="H14" s="39">
        <f t="shared" si="2"/>
        <v>1557.2999999999997</v>
      </c>
      <c r="I14" s="158"/>
      <c r="K14" s="154">
        <f t="shared" si="0"/>
        <v>253.70000000000027</v>
      </c>
      <c r="P14" s="146">
        <v>36760</v>
      </c>
      <c r="T14" s="146">
        <v>160</v>
      </c>
    </row>
    <row r="15" spans="1:20" ht="24.75" customHeight="1">
      <c r="A15" s="155">
        <v>7</v>
      </c>
      <c r="B15" s="193" t="s">
        <v>53</v>
      </c>
      <c r="C15" s="39">
        <v>1409</v>
      </c>
      <c r="D15" s="39">
        <v>585</v>
      </c>
      <c r="E15" s="167">
        <f t="shared" si="1"/>
        <v>41.51880766501065</v>
      </c>
      <c r="F15" s="39">
        <v>636.71</v>
      </c>
      <c r="G15" s="39">
        <v>180</v>
      </c>
      <c r="H15" s="39">
        <f t="shared" si="2"/>
        <v>816.71</v>
      </c>
      <c r="I15" s="156"/>
      <c r="K15" s="154">
        <f t="shared" si="0"/>
        <v>7.289999999999964</v>
      </c>
      <c r="P15" s="146">
        <v>3888</v>
      </c>
      <c r="T15" s="146">
        <v>430</v>
      </c>
    </row>
    <row r="16" spans="1:20" ht="24.75" customHeight="1">
      <c r="A16" s="155">
        <v>8</v>
      </c>
      <c r="B16" s="193" t="s">
        <v>123</v>
      </c>
      <c r="C16" s="39">
        <f>130+100</f>
        <v>230</v>
      </c>
      <c r="D16" s="39">
        <v>64.65</v>
      </c>
      <c r="E16" s="167">
        <f t="shared" si="1"/>
        <v>28.108695652173914</v>
      </c>
      <c r="F16" s="39"/>
      <c r="G16" s="39"/>
      <c r="H16" s="39"/>
      <c r="I16" s="156"/>
      <c r="K16" s="154"/>
      <c r="P16" s="146">
        <f>SUM(P6:P15)</f>
        <v>312783</v>
      </c>
      <c r="T16" s="146">
        <v>250</v>
      </c>
    </row>
    <row r="17" spans="1:20" ht="24.75" customHeight="1">
      <c r="A17" s="155">
        <v>9</v>
      </c>
      <c r="B17" s="193" t="s">
        <v>54</v>
      </c>
      <c r="C17" s="39">
        <v>753</v>
      </c>
      <c r="D17" s="39">
        <v>436</v>
      </c>
      <c r="E17" s="167">
        <f t="shared" si="1"/>
        <v>57.90172642762285</v>
      </c>
      <c r="F17" s="39">
        <v>34</v>
      </c>
      <c r="G17" s="39">
        <v>51.2</v>
      </c>
      <c r="H17" s="39">
        <f t="shared" si="2"/>
        <v>85.2</v>
      </c>
      <c r="I17" s="156"/>
      <c r="K17" s="154">
        <f t="shared" si="0"/>
        <v>231.8</v>
      </c>
      <c r="T17" s="146">
        <f>SUM(T6:T16)</f>
        <v>3500</v>
      </c>
    </row>
    <row r="18" spans="1:11" s="157" customFormat="1" ht="24.75" customHeight="1">
      <c r="A18" s="155">
        <v>10</v>
      </c>
      <c r="B18" s="193" t="s">
        <v>55</v>
      </c>
      <c r="C18" s="39">
        <v>1147</v>
      </c>
      <c r="D18" s="39">
        <v>432.5</v>
      </c>
      <c r="E18" s="167">
        <f t="shared" si="1"/>
        <v>37.70706190061029</v>
      </c>
      <c r="F18" s="39">
        <v>380</v>
      </c>
      <c r="G18" s="39">
        <v>296</v>
      </c>
      <c r="H18" s="39">
        <f t="shared" si="2"/>
        <v>676</v>
      </c>
      <c r="I18" s="156"/>
      <c r="K18" s="154">
        <f t="shared" si="0"/>
        <v>38.5</v>
      </c>
    </row>
    <row r="19" spans="1:11" ht="24.75" customHeight="1">
      <c r="A19" s="155">
        <v>11</v>
      </c>
      <c r="B19" s="193" t="s">
        <v>56</v>
      </c>
      <c r="C19" s="39">
        <v>870</v>
      </c>
      <c r="D19" s="39">
        <v>130</v>
      </c>
      <c r="E19" s="167">
        <f t="shared" si="1"/>
        <v>14.942528735632186</v>
      </c>
      <c r="F19" s="39">
        <v>266.91</v>
      </c>
      <c r="G19" s="39">
        <v>205.99</v>
      </c>
      <c r="H19" s="39">
        <f t="shared" si="2"/>
        <v>472.90000000000003</v>
      </c>
      <c r="I19" s="156"/>
      <c r="K19" s="154">
        <f t="shared" si="0"/>
        <v>267.09999999999997</v>
      </c>
    </row>
    <row r="20" spans="1:11" s="157" customFormat="1" ht="24.75" customHeight="1">
      <c r="A20" s="155">
        <v>12</v>
      </c>
      <c r="B20" s="193" t="s">
        <v>57</v>
      </c>
      <c r="C20" s="39">
        <v>702</v>
      </c>
      <c r="D20" s="39">
        <v>370</v>
      </c>
      <c r="E20" s="167">
        <f t="shared" si="1"/>
        <v>52.70655270655271</v>
      </c>
      <c r="F20" s="39">
        <v>348.8</v>
      </c>
      <c r="G20" s="39">
        <v>187.69</v>
      </c>
      <c r="H20" s="39">
        <f t="shared" si="2"/>
        <v>536.49</v>
      </c>
      <c r="I20" s="156"/>
      <c r="K20" s="154">
        <f t="shared" si="0"/>
        <v>-204.49</v>
      </c>
    </row>
    <row r="21" spans="1:11" ht="24.75" customHeight="1">
      <c r="A21" s="155">
        <v>13</v>
      </c>
      <c r="B21" s="193" t="s">
        <v>58</v>
      </c>
      <c r="C21" s="39">
        <f>1416-200</f>
        <v>1216</v>
      </c>
      <c r="D21" s="39">
        <v>400.25</v>
      </c>
      <c r="E21" s="167">
        <f t="shared" si="1"/>
        <v>32.915296052631575</v>
      </c>
      <c r="F21" s="39">
        <v>180.1</v>
      </c>
      <c r="G21" s="39">
        <v>419.33</v>
      </c>
      <c r="H21" s="39">
        <f t="shared" si="2"/>
        <v>599.43</v>
      </c>
      <c r="I21" s="156"/>
      <c r="K21" s="154">
        <f t="shared" si="0"/>
        <v>216.32</v>
      </c>
    </row>
    <row r="22" spans="1:11" ht="24.75" customHeight="1">
      <c r="A22" s="155">
        <v>14</v>
      </c>
      <c r="B22" s="193" t="s">
        <v>59</v>
      </c>
      <c r="C22" s="39">
        <v>421</v>
      </c>
      <c r="D22" s="39">
        <v>166</v>
      </c>
      <c r="E22" s="167">
        <f t="shared" si="1"/>
        <v>39.42992874109264</v>
      </c>
      <c r="F22" s="39">
        <v>112</v>
      </c>
      <c r="G22" s="39">
        <v>125.97</v>
      </c>
      <c r="H22" s="39">
        <f t="shared" si="2"/>
        <v>237.97</v>
      </c>
      <c r="I22" s="156"/>
      <c r="K22" s="154">
        <f t="shared" si="0"/>
        <v>17.03</v>
      </c>
    </row>
    <row r="23" spans="1:11" ht="24.75" customHeight="1">
      <c r="A23" s="155">
        <v>15</v>
      </c>
      <c r="B23" s="193" t="s">
        <v>60</v>
      </c>
      <c r="C23" s="39">
        <f>825-25</f>
        <v>800</v>
      </c>
      <c r="D23" s="39">
        <v>192.7</v>
      </c>
      <c r="E23" s="167">
        <f t="shared" si="1"/>
        <v>24.0875</v>
      </c>
      <c r="F23" s="39">
        <v>134.796</v>
      </c>
      <c r="G23" s="39">
        <v>186.05599999999998</v>
      </c>
      <c r="H23" s="39">
        <f t="shared" si="2"/>
        <v>320.852</v>
      </c>
      <c r="I23" s="156"/>
      <c r="K23" s="154">
        <f t="shared" si="0"/>
        <v>286.448</v>
      </c>
    </row>
    <row r="24" spans="1:11" ht="24.75" customHeight="1">
      <c r="A24" s="155">
        <v>16</v>
      </c>
      <c r="B24" s="193" t="s">
        <v>61</v>
      </c>
      <c r="C24" s="39">
        <v>515</v>
      </c>
      <c r="D24" s="39">
        <v>328</v>
      </c>
      <c r="E24" s="167">
        <f t="shared" si="1"/>
        <v>63.689320388349515</v>
      </c>
      <c r="F24" s="39">
        <v>97.35</v>
      </c>
      <c r="G24" s="39">
        <v>99.27000000000001</v>
      </c>
      <c r="H24" s="39">
        <f t="shared" si="2"/>
        <v>196.62</v>
      </c>
      <c r="I24" s="156"/>
      <c r="K24" s="154">
        <f t="shared" si="0"/>
        <v>-9.620000000000005</v>
      </c>
    </row>
    <row r="25" spans="1:11" ht="24.75" customHeight="1">
      <c r="A25" s="155">
        <v>17</v>
      </c>
      <c r="B25" s="194" t="s">
        <v>121</v>
      </c>
      <c r="C25" s="39">
        <v>73</v>
      </c>
      <c r="D25" s="39">
        <v>47.675</v>
      </c>
      <c r="E25" s="167">
        <f t="shared" si="1"/>
        <v>65.30821917808218</v>
      </c>
      <c r="F25" s="39"/>
      <c r="G25" s="39"/>
      <c r="H25" s="39"/>
      <c r="I25" s="156"/>
      <c r="K25" s="154"/>
    </row>
    <row r="26" spans="1:11" ht="24.75" customHeight="1">
      <c r="A26" s="155">
        <v>18</v>
      </c>
      <c r="B26" s="194" t="s">
        <v>122</v>
      </c>
      <c r="C26" s="39">
        <v>730</v>
      </c>
      <c r="D26" s="39">
        <v>312.78</v>
      </c>
      <c r="E26" s="167">
        <f t="shared" si="1"/>
        <v>42.84657534246575</v>
      </c>
      <c r="F26" s="39"/>
      <c r="G26" s="39"/>
      <c r="H26" s="39"/>
      <c r="I26" s="156"/>
      <c r="K26" s="154"/>
    </row>
    <row r="27" spans="1:11" ht="24.75" customHeight="1">
      <c r="A27" s="155">
        <v>19</v>
      </c>
      <c r="B27" s="193" t="s">
        <v>62</v>
      </c>
      <c r="C27" s="39">
        <v>435</v>
      </c>
      <c r="D27" s="39">
        <v>128</v>
      </c>
      <c r="E27" s="167">
        <f t="shared" si="1"/>
        <v>29.42528735632184</v>
      </c>
      <c r="F27" s="39">
        <v>168</v>
      </c>
      <c r="G27" s="39">
        <v>145.6</v>
      </c>
      <c r="H27" s="39">
        <f t="shared" si="2"/>
        <v>313.6</v>
      </c>
      <c r="I27" s="156"/>
      <c r="K27" s="154">
        <f t="shared" si="0"/>
        <v>-6.599999999999994</v>
      </c>
    </row>
    <row r="28" spans="1:16" ht="24.75" customHeight="1">
      <c r="A28" s="155">
        <v>20</v>
      </c>
      <c r="B28" s="193" t="s">
        <v>120</v>
      </c>
      <c r="C28" s="39">
        <f>108.1+625+483.9+15-200</f>
        <v>1032</v>
      </c>
      <c r="D28" s="39">
        <v>37.3</v>
      </c>
      <c r="E28" s="167">
        <f t="shared" si="1"/>
        <v>3.614341085271318</v>
      </c>
      <c r="F28" s="39"/>
      <c r="G28" s="39"/>
      <c r="H28" s="39"/>
      <c r="I28" s="156"/>
      <c r="K28" s="154">
        <f t="shared" si="0"/>
        <v>994.7</v>
      </c>
      <c r="P28" s="154">
        <f>D29-7363</f>
        <v>100.22499999999945</v>
      </c>
    </row>
    <row r="29" spans="1:11" s="157" customFormat="1" ht="24.75" customHeight="1">
      <c r="A29" s="255" t="s">
        <v>5</v>
      </c>
      <c r="B29" s="256"/>
      <c r="C29" s="172">
        <f>SUM(C9:C28)</f>
        <v>19642</v>
      </c>
      <c r="D29" s="172">
        <f>SUM(D9:D28)</f>
        <v>7463.224999999999</v>
      </c>
      <c r="E29" s="164">
        <f>D29/C29*100</f>
        <v>37.99625801853171</v>
      </c>
      <c r="F29" s="172">
        <f>SUM(F9:F28)</f>
        <v>3527.3659999999995</v>
      </c>
      <c r="G29" s="172">
        <f>SUM(G9:G28)</f>
        <v>6131.976</v>
      </c>
      <c r="H29" s="172">
        <f>SUM(H9:H28)</f>
        <v>9659.342</v>
      </c>
      <c r="I29" s="166"/>
      <c r="K29" s="154">
        <f t="shared" si="0"/>
        <v>2519.433000000002</v>
      </c>
    </row>
    <row r="32" spans="1:7" ht="12.75">
      <c r="A32" s="200" t="s">
        <v>124</v>
      </c>
      <c r="B32" s="146"/>
      <c r="C32" s="143">
        <v>15942</v>
      </c>
      <c r="E32" s="146"/>
      <c r="F32" s="146"/>
      <c r="G32" s="146"/>
    </row>
    <row r="33" spans="1:4" s="146" customFormat="1" ht="12.75">
      <c r="A33" s="200" t="s">
        <v>4</v>
      </c>
      <c r="C33" s="143">
        <v>3000</v>
      </c>
      <c r="D33" s="143"/>
    </row>
    <row r="34" spans="1:4" s="146" customFormat="1" ht="64.5" customHeight="1">
      <c r="A34" s="142" t="s">
        <v>125</v>
      </c>
      <c r="B34" s="142"/>
      <c r="C34" s="143">
        <v>400</v>
      </c>
      <c r="D34" s="143"/>
    </row>
    <row r="35" spans="1:4" s="146" customFormat="1" ht="12.75">
      <c r="A35" s="200" t="s">
        <v>126</v>
      </c>
      <c r="C35" s="143">
        <v>300</v>
      </c>
      <c r="D35" s="143"/>
    </row>
    <row r="36" spans="1:4" s="146" customFormat="1" ht="12.75">
      <c r="A36" s="200"/>
      <c r="C36" s="143"/>
      <c r="D36" s="143"/>
    </row>
    <row r="37" spans="1:4" s="157" customFormat="1" ht="12.75">
      <c r="A37" s="196" t="s">
        <v>127</v>
      </c>
      <c r="C37" s="197">
        <f>SUM(C32:C35)</f>
        <v>19642</v>
      </c>
      <c r="D37" s="197"/>
    </row>
    <row r="38" spans="1:3" s="146" customFormat="1" ht="12.75">
      <c r="A38" s="141"/>
      <c r="B38" s="141"/>
      <c r="C38" s="141"/>
    </row>
  </sheetData>
  <sheetProtection/>
  <mergeCells count="4">
    <mergeCell ref="A2:I2"/>
    <mergeCell ref="A3:I3"/>
    <mergeCell ref="A5:B5"/>
    <mergeCell ref="A29:B29"/>
  </mergeCells>
  <printOptions/>
  <pageMargins left="0.7" right="0.25" top="0.5" bottom="0.61" header="0.3" footer="0.3"/>
  <pageSetup horizontalDpi="600" verticalDpi="600" orientation="portrait" paperSize="9" scale="93" r:id="rId3"/>
  <headerFooter>
    <oddFooter>&amp;CPage &amp;P</oddFooter>
  </headerFooter>
  <legacyDrawing r:id="rId2"/>
</worksheet>
</file>

<file path=xl/worksheets/sheet31.xml><?xml version="1.0" encoding="utf-8"?>
<worksheet xmlns="http://schemas.openxmlformats.org/spreadsheetml/2006/main" xmlns:r="http://schemas.openxmlformats.org/officeDocument/2006/relationships">
  <sheetPr>
    <tabColor rgb="FFFF0000"/>
  </sheetPr>
  <dimension ref="A1:O39"/>
  <sheetViews>
    <sheetView zoomScalePageLayoutView="0" workbookViewId="0" topLeftCell="A1">
      <pane xSplit="1" ySplit="8" topLeftCell="B2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9.421875" style="141" customWidth="1"/>
    <col min="2" max="2" width="11.421875" style="142" customWidth="1"/>
    <col min="3" max="4" width="13.28125" style="143" customWidth="1"/>
    <col min="5" max="5" width="11.8515625" style="144" customWidth="1"/>
    <col min="6" max="8" width="13.28125" style="141" customWidth="1"/>
    <col min="9" max="9" width="0.71875" style="146" hidden="1" customWidth="1"/>
    <col min="10" max="10" width="1.57421875" style="146" hidden="1" customWidth="1"/>
    <col min="11" max="11" width="7.57421875" style="146" hidden="1" customWidth="1"/>
    <col min="12" max="12" width="9.140625" style="146" customWidth="1"/>
    <col min="13" max="15" width="13.28125" style="143" customWidth="1"/>
    <col min="16" max="16384" width="9.140625" style="146" customWidth="1"/>
  </cols>
  <sheetData>
    <row r="1" ht="12.75">
      <c r="H1" s="145" t="s">
        <v>18</v>
      </c>
    </row>
    <row r="2" spans="1:15" ht="15" customHeight="1">
      <c r="A2" s="252" t="s">
        <v>16</v>
      </c>
      <c r="B2" s="252"/>
      <c r="C2" s="252"/>
      <c r="D2" s="252"/>
      <c r="E2" s="252"/>
      <c r="F2" s="252"/>
      <c r="G2" s="252"/>
      <c r="H2" s="252"/>
      <c r="I2" s="252"/>
      <c r="M2" s="146"/>
      <c r="N2" s="146"/>
      <c r="O2" s="146"/>
    </row>
    <row r="3" spans="1:15" ht="15" customHeight="1">
      <c r="A3" s="252" t="s">
        <v>17</v>
      </c>
      <c r="B3" s="252"/>
      <c r="C3" s="252"/>
      <c r="D3" s="252"/>
      <c r="E3" s="252"/>
      <c r="F3" s="252"/>
      <c r="G3" s="252"/>
      <c r="H3" s="252"/>
      <c r="I3" s="252"/>
      <c r="M3" s="146"/>
      <c r="N3" s="146"/>
      <c r="O3" s="146"/>
    </row>
    <row r="4" spans="1:8" ht="14.25" hidden="1">
      <c r="A4" s="78"/>
      <c r="H4" s="147"/>
    </row>
    <row r="5" spans="1:15" s="150" customFormat="1" ht="62.25" customHeight="1">
      <c r="A5" s="253" t="s">
        <v>109</v>
      </c>
      <c r="B5" s="254"/>
      <c r="C5" s="179" t="s">
        <v>22</v>
      </c>
      <c r="D5" s="179" t="s">
        <v>6</v>
      </c>
      <c r="E5" s="185" t="s">
        <v>119</v>
      </c>
      <c r="F5" s="179" t="s">
        <v>38</v>
      </c>
      <c r="G5" s="179" t="s">
        <v>39</v>
      </c>
      <c r="H5" s="179" t="s">
        <v>115</v>
      </c>
      <c r="I5" s="148" t="s">
        <v>40</v>
      </c>
      <c r="M5" s="179" t="s">
        <v>143</v>
      </c>
      <c r="N5" s="179" t="s">
        <v>141</v>
      </c>
      <c r="O5" s="179" t="s">
        <v>142</v>
      </c>
    </row>
    <row r="6" spans="1:15" s="150" customFormat="1" ht="15" customHeight="1">
      <c r="A6" s="188"/>
      <c r="B6" s="186"/>
      <c r="C6" s="178" t="s">
        <v>118</v>
      </c>
      <c r="D6" s="178" t="s">
        <v>118</v>
      </c>
      <c r="E6" s="190" t="s">
        <v>1</v>
      </c>
      <c r="F6" s="178" t="s">
        <v>118</v>
      </c>
      <c r="G6" s="178" t="s">
        <v>118</v>
      </c>
      <c r="H6" s="178" t="s">
        <v>118</v>
      </c>
      <c r="I6" s="179"/>
      <c r="M6" s="178" t="s">
        <v>118</v>
      </c>
      <c r="N6" s="178" t="s">
        <v>118</v>
      </c>
      <c r="O6" s="178" t="s">
        <v>118</v>
      </c>
    </row>
    <row r="7" spans="1:15" s="150" customFormat="1" ht="15" customHeight="1">
      <c r="A7" s="188"/>
      <c r="B7" s="186"/>
      <c r="C7" s="178" t="s">
        <v>110</v>
      </c>
      <c r="D7" s="178" t="s">
        <v>111</v>
      </c>
      <c r="E7" s="178" t="s">
        <v>112</v>
      </c>
      <c r="F7" s="178" t="s">
        <v>113</v>
      </c>
      <c r="G7" s="178" t="s">
        <v>114</v>
      </c>
      <c r="H7" s="178" t="s">
        <v>116</v>
      </c>
      <c r="I7" s="179"/>
      <c r="M7" s="178" t="s">
        <v>110</v>
      </c>
      <c r="N7" s="178" t="s">
        <v>110</v>
      </c>
      <c r="O7" s="178" t="s">
        <v>110</v>
      </c>
    </row>
    <row r="8" spans="1:15" s="150" customFormat="1" ht="14.25" customHeight="1">
      <c r="A8" s="189"/>
      <c r="B8" s="187"/>
      <c r="C8" s="183"/>
      <c r="D8" s="183"/>
      <c r="E8" s="184"/>
      <c r="F8" s="183"/>
      <c r="G8" s="183"/>
      <c r="H8" s="183" t="s">
        <v>117</v>
      </c>
      <c r="I8" s="179"/>
      <c r="M8" s="183"/>
      <c r="N8" s="183"/>
      <c r="O8" s="183"/>
    </row>
    <row r="9" spans="1:15" ht="24.75" customHeight="1">
      <c r="A9" s="151">
        <v>1</v>
      </c>
      <c r="B9" s="191" t="s">
        <v>47</v>
      </c>
      <c r="C9" s="181">
        <v>1288</v>
      </c>
      <c r="D9" s="181">
        <v>787</v>
      </c>
      <c r="E9" s="182">
        <f>D9/C9*100</f>
        <v>61.10248447204969</v>
      </c>
      <c r="F9" s="181">
        <v>158.06</v>
      </c>
      <c r="G9" s="181">
        <v>424.16999999999996</v>
      </c>
      <c r="H9" s="181">
        <f>+G9+F9</f>
        <v>582.23</v>
      </c>
      <c r="I9" s="152"/>
      <c r="K9" s="154">
        <f aca="true" t="shared" si="0" ref="K9:K30">+C9-D9-F9-G9</f>
        <v>-81.22999999999996</v>
      </c>
      <c r="M9" s="181">
        <f>1263+25</f>
        <v>1288</v>
      </c>
      <c r="N9" s="181">
        <v>0</v>
      </c>
      <c r="O9" s="181">
        <f>+M9-N9</f>
        <v>1288</v>
      </c>
    </row>
    <row r="10" spans="1:15" ht="24.75" customHeight="1">
      <c r="A10" s="155">
        <v>2</v>
      </c>
      <c r="B10" s="192" t="s">
        <v>69</v>
      </c>
      <c r="C10" s="39">
        <v>637</v>
      </c>
      <c r="D10" s="39">
        <v>406</v>
      </c>
      <c r="E10" s="167">
        <f aca="true" t="shared" si="1" ref="E10:E29">D10/C10*100</f>
        <v>63.73626373626373</v>
      </c>
      <c r="F10" s="39">
        <v>142.95</v>
      </c>
      <c r="G10" s="39">
        <v>341.03999999999996</v>
      </c>
      <c r="H10" s="39">
        <f>+G10+F10</f>
        <v>483.98999999999995</v>
      </c>
      <c r="I10" s="22"/>
      <c r="K10" s="154">
        <f t="shared" si="0"/>
        <v>-252.98999999999995</v>
      </c>
      <c r="M10" s="39">
        <v>787</v>
      </c>
      <c r="N10" s="39">
        <v>150</v>
      </c>
      <c r="O10" s="181">
        <f aca="true" t="shared" si="2" ref="O10:O28">+M10-N10</f>
        <v>637</v>
      </c>
    </row>
    <row r="11" spans="1:15" ht="24.75" customHeight="1">
      <c r="A11" s="155">
        <v>3</v>
      </c>
      <c r="B11" s="193" t="s">
        <v>49</v>
      </c>
      <c r="C11" s="39">
        <v>1321</v>
      </c>
      <c r="D11" s="39">
        <f>796.2-13-100</f>
        <v>683.2</v>
      </c>
      <c r="E11" s="167">
        <f t="shared" si="1"/>
        <v>51.71839515518547</v>
      </c>
      <c r="F11" s="39">
        <f>247-36</f>
        <v>211</v>
      </c>
      <c r="G11" s="39">
        <f>1357-705</f>
        <v>652</v>
      </c>
      <c r="H11" s="39">
        <f aca="true" t="shared" si="3" ref="H11:H29">+G11+F11</f>
        <v>863</v>
      </c>
      <c r="I11" s="156"/>
      <c r="K11" s="154">
        <f t="shared" si="0"/>
        <v>-225.20000000000005</v>
      </c>
      <c r="M11" s="39">
        <f>2621-600</f>
        <v>2021</v>
      </c>
      <c r="N11" s="39">
        <v>700</v>
      </c>
      <c r="O11" s="181">
        <f t="shared" si="2"/>
        <v>1321</v>
      </c>
    </row>
    <row r="12" spans="1:15" ht="24.75" customHeight="1">
      <c r="A12" s="155">
        <v>4</v>
      </c>
      <c r="B12" s="193" t="s">
        <v>50</v>
      </c>
      <c r="C12" s="39">
        <v>1081</v>
      </c>
      <c r="D12" s="39">
        <f>358.67-4.76</f>
        <v>353.91</v>
      </c>
      <c r="E12" s="167">
        <f t="shared" si="1"/>
        <v>32.73913043478261</v>
      </c>
      <c r="F12" s="39">
        <f>200.59-9.91</f>
        <v>190.68</v>
      </c>
      <c r="G12" s="39">
        <f>352.04-70</f>
        <v>282.04</v>
      </c>
      <c r="H12" s="39">
        <f t="shared" si="3"/>
        <v>472.72</v>
      </c>
      <c r="I12" s="156"/>
      <c r="K12" s="154">
        <f t="shared" si="0"/>
        <v>254.36999999999983</v>
      </c>
      <c r="M12" s="39">
        <v>1251</v>
      </c>
      <c r="N12" s="39">
        <v>170</v>
      </c>
      <c r="O12" s="181">
        <f t="shared" si="2"/>
        <v>1081</v>
      </c>
    </row>
    <row r="13" spans="1:15" s="157" customFormat="1" ht="24.75" customHeight="1">
      <c r="A13" s="155">
        <v>5</v>
      </c>
      <c r="B13" s="193" t="s">
        <v>51</v>
      </c>
      <c r="C13" s="39">
        <v>1545</v>
      </c>
      <c r="D13" s="39">
        <v>878.5</v>
      </c>
      <c r="E13" s="167">
        <f t="shared" si="1"/>
        <v>56.860841423948216</v>
      </c>
      <c r="F13" s="39">
        <v>313</v>
      </c>
      <c r="G13" s="39">
        <v>310.41999999999996</v>
      </c>
      <c r="H13" s="39">
        <f t="shared" si="3"/>
        <v>623.42</v>
      </c>
      <c r="I13" s="156"/>
      <c r="K13" s="154">
        <f t="shared" si="0"/>
        <v>43.08000000000004</v>
      </c>
      <c r="M13" s="39">
        <v>1545</v>
      </c>
      <c r="N13" s="39">
        <v>0</v>
      </c>
      <c r="O13" s="181">
        <f t="shared" si="2"/>
        <v>1545</v>
      </c>
    </row>
    <row r="14" spans="1:15" ht="24.75" customHeight="1">
      <c r="A14" s="155">
        <v>6</v>
      </c>
      <c r="B14" s="194" t="s">
        <v>70</v>
      </c>
      <c r="C14" s="39">
        <v>2017</v>
      </c>
      <c r="D14" s="39">
        <f>606-10+400</f>
        <v>996</v>
      </c>
      <c r="E14" s="167">
        <f t="shared" si="1"/>
        <v>49.380267724343085</v>
      </c>
      <c r="F14" s="39">
        <v>107.1</v>
      </c>
      <c r="G14" s="39">
        <f>1450.2-222</f>
        <v>1228.2</v>
      </c>
      <c r="H14" s="39">
        <f t="shared" si="3"/>
        <v>1335.3</v>
      </c>
      <c r="I14" s="158"/>
      <c r="K14" s="154">
        <f t="shared" si="0"/>
        <v>-314.30000000000007</v>
      </c>
      <c r="M14" s="39">
        <f>2417-200+200</f>
        <v>2417</v>
      </c>
      <c r="N14" s="39">
        <v>400</v>
      </c>
      <c r="O14" s="181">
        <f t="shared" si="2"/>
        <v>2017</v>
      </c>
    </row>
    <row r="15" spans="1:15" ht="24.75" customHeight="1">
      <c r="A15" s="155">
        <v>7</v>
      </c>
      <c r="B15" s="193" t="s">
        <v>53</v>
      </c>
      <c r="C15" s="39">
        <v>1149</v>
      </c>
      <c r="D15" s="39">
        <f>585-50.68</f>
        <v>534.32</v>
      </c>
      <c r="E15" s="167">
        <f t="shared" si="1"/>
        <v>46.50304612706702</v>
      </c>
      <c r="F15" s="39">
        <f>636.71-139.32</f>
        <v>497.39000000000004</v>
      </c>
      <c r="G15" s="39">
        <f>180-120</f>
        <v>60</v>
      </c>
      <c r="H15" s="39">
        <f t="shared" si="3"/>
        <v>557.3900000000001</v>
      </c>
      <c r="I15" s="156"/>
      <c r="K15" s="154">
        <f t="shared" si="0"/>
        <v>57.28999999999991</v>
      </c>
      <c r="M15" s="39">
        <v>1409</v>
      </c>
      <c r="N15" s="39">
        <v>260</v>
      </c>
      <c r="O15" s="181">
        <f t="shared" si="2"/>
        <v>1149</v>
      </c>
    </row>
    <row r="16" spans="1:15" ht="24.75" customHeight="1">
      <c r="A16" s="155">
        <v>8</v>
      </c>
      <c r="B16" s="193" t="s">
        <v>123</v>
      </c>
      <c r="C16" s="39">
        <v>230</v>
      </c>
      <c r="D16" s="39">
        <v>64.65</v>
      </c>
      <c r="E16" s="167">
        <f t="shared" si="1"/>
        <v>28.108695652173914</v>
      </c>
      <c r="F16" s="39"/>
      <c r="G16" s="39"/>
      <c r="H16" s="39"/>
      <c r="I16" s="156"/>
      <c r="K16" s="154"/>
      <c r="M16" s="39">
        <f>130+100</f>
        <v>230</v>
      </c>
      <c r="N16" s="39">
        <v>0</v>
      </c>
      <c r="O16" s="181">
        <f t="shared" si="2"/>
        <v>230</v>
      </c>
    </row>
    <row r="17" spans="1:15" ht="24.75" customHeight="1">
      <c r="A17" s="155">
        <v>9</v>
      </c>
      <c r="B17" s="193" t="s">
        <v>54</v>
      </c>
      <c r="C17" s="39">
        <v>653</v>
      </c>
      <c r="D17" s="39">
        <f>436-15</f>
        <v>421</v>
      </c>
      <c r="E17" s="167">
        <f t="shared" si="1"/>
        <v>64.47166921898928</v>
      </c>
      <c r="F17" s="39">
        <f>34-5</f>
        <v>29</v>
      </c>
      <c r="G17" s="39">
        <f>51.2-5</f>
        <v>46.2</v>
      </c>
      <c r="H17" s="39">
        <f t="shared" si="3"/>
        <v>75.2</v>
      </c>
      <c r="I17" s="156"/>
      <c r="K17" s="154">
        <f t="shared" si="0"/>
        <v>156.8</v>
      </c>
      <c r="M17" s="39">
        <v>753</v>
      </c>
      <c r="N17" s="39">
        <v>100</v>
      </c>
      <c r="O17" s="181">
        <f t="shared" si="2"/>
        <v>653</v>
      </c>
    </row>
    <row r="18" spans="1:15" s="157" customFormat="1" ht="24.75" customHeight="1">
      <c r="A18" s="155">
        <v>10</v>
      </c>
      <c r="B18" s="193" t="s">
        <v>55</v>
      </c>
      <c r="C18" s="39">
        <v>867</v>
      </c>
      <c r="D18" s="39">
        <f>432.5-21.52</f>
        <v>410.98</v>
      </c>
      <c r="E18" s="167">
        <f t="shared" si="1"/>
        <v>47.40253748558247</v>
      </c>
      <c r="F18" s="39">
        <f>380-100</f>
        <v>280</v>
      </c>
      <c r="G18" s="39">
        <f>296-208.48</f>
        <v>87.52000000000001</v>
      </c>
      <c r="H18" s="39">
        <f t="shared" si="3"/>
        <v>367.52</v>
      </c>
      <c r="I18" s="156"/>
      <c r="K18" s="154">
        <f t="shared" si="0"/>
        <v>88.49999999999997</v>
      </c>
      <c r="M18" s="39">
        <v>1147</v>
      </c>
      <c r="N18" s="39">
        <v>280</v>
      </c>
      <c r="O18" s="181">
        <f t="shared" si="2"/>
        <v>867</v>
      </c>
    </row>
    <row r="19" spans="1:15" ht="24.75" customHeight="1">
      <c r="A19" s="155">
        <v>11</v>
      </c>
      <c r="B19" s="193" t="s">
        <v>56</v>
      </c>
      <c r="C19" s="39">
        <v>645</v>
      </c>
      <c r="D19" s="39">
        <f>130-0.06</f>
        <v>129.94</v>
      </c>
      <c r="E19" s="167">
        <f t="shared" si="1"/>
        <v>20.145736434108528</v>
      </c>
      <c r="F19" s="39">
        <v>266.91</v>
      </c>
      <c r="G19" s="39">
        <f>205.99-54</f>
        <v>151.99</v>
      </c>
      <c r="H19" s="39">
        <f t="shared" si="3"/>
        <v>418.90000000000003</v>
      </c>
      <c r="I19" s="156"/>
      <c r="K19" s="154">
        <f t="shared" si="0"/>
        <v>96.15999999999991</v>
      </c>
      <c r="M19" s="39">
        <v>870</v>
      </c>
      <c r="N19" s="39">
        <v>225</v>
      </c>
      <c r="O19" s="181">
        <f t="shared" si="2"/>
        <v>645</v>
      </c>
    </row>
    <row r="20" spans="1:15" s="157" customFormat="1" ht="24.75" customHeight="1">
      <c r="A20" s="155">
        <v>12</v>
      </c>
      <c r="B20" s="193" t="s">
        <v>57</v>
      </c>
      <c r="C20" s="39">
        <v>567</v>
      </c>
      <c r="D20" s="39">
        <f>370</f>
        <v>370</v>
      </c>
      <c r="E20" s="167">
        <f t="shared" si="1"/>
        <v>65.25573192239858</v>
      </c>
      <c r="F20" s="39">
        <f>348.8-100</f>
        <v>248.8</v>
      </c>
      <c r="G20" s="39">
        <f>187.69-60</f>
        <v>127.69</v>
      </c>
      <c r="H20" s="39">
        <f t="shared" si="3"/>
        <v>376.49</v>
      </c>
      <c r="I20" s="156"/>
      <c r="K20" s="154">
        <f t="shared" si="0"/>
        <v>-179.49</v>
      </c>
      <c r="M20" s="39">
        <v>702</v>
      </c>
      <c r="N20" s="39">
        <v>135</v>
      </c>
      <c r="O20" s="181">
        <f t="shared" si="2"/>
        <v>567</v>
      </c>
    </row>
    <row r="21" spans="1:15" ht="24.75" customHeight="1">
      <c r="A21" s="155">
        <v>13</v>
      </c>
      <c r="B21" s="193" t="s">
        <v>58</v>
      </c>
      <c r="C21" s="39">
        <v>836</v>
      </c>
      <c r="D21" s="39">
        <f>400.25-17.7</f>
        <v>382.55</v>
      </c>
      <c r="E21" s="167">
        <f t="shared" si="1"/>
        <v>45.75956937799043</v>
      </c>
      <c r="F21" s="39">
        <f>180.1-28.1</f>
        <v>152</v>
      </c>
      <c r="G21" s="39">
        <f>419.33-226</f>
        <v>193.32999999999998</v>
      </c>
      <c r="H21" s="39">
        <f t="shared" si="3"/>
        <v>345.33</v>
      </c>
      <c r="I21" s="156"/>
      <c r="K21" s="154">
        <f t="shared" si="0"/>
        <v>108.12</v>
      </c>
      <c r="M21" s="39">
        <f>1416-200</f>
        <v>1216</v>
      </c>
      <c r="N21" s="39">
        <v>380</v>
      </c>
      <c r="O21" s="181">
        <f t="shared" si="2"/>
        <v>836</v>
      </c>
    </row>
    <row r="22" spans="1:15" ht="24.75" customHeight="1">
      <c r="A22" s="155">
        <v>14</v>
      </c>
      <c r="B22" s="193" t="s">
        <v>59</v>
      </c>
      <c r="C22" s="39">
        <v>421</v>
      </c>
      <c r="D22" s="39">
        <v>166</v>
      </c>
      <c r="E22" s="167">
        <f t="shared" si="1"/>
        <v>39.42992874109264</v>
      </c>
      <c r="F22" s="39">
        <v>112</v>
      </c>
      <c r="G22" s="39">
        <v>125.97</v>
      </c>
      <c r="H22" s="39">
        <f t="shared" si="3"/>
        <v>237.97</v>
      </c>
      <c r="I22" s="156"/>
      <c r="K22" s="154">
        <f t="shared" si="0"/>
        <v>17.03</v>
      </c>
      <c r="M22" s="39">
        <v>421</v>
      </c>
      <c r="N22" s="39">
        <v>0</v>
      </c>
      <c r="O22" s="181">
        <f t="shared" si="2"/>
        <v>421</v>
      </c>
    </row>
    <row r="23" spans="1:15" ht="24.75" customHeight="1">
      <c r="A23" s="155">
        <v>15</v>
      </c>
      <c r="B23" s="193" t="s">
        <v>60</v>
      </c>
      <c r="C23" s="39">
        <v>600</v>
      </c>
      <c r="D23" s="39">
        <f>192.7-11.42</f>
        <v>181.28</v>
      </c>
      <c r="E23" s="167">
        <f t="shared" si="1"/>
        <v>30.21333333333333</v>
      </c>
      <c r="F23" s="39">
        <f>134.796-28</f>
        <v>106.79599999999999</v>
      </c>
      <c r="G23" s="39">
        <f>186.056-79</f>
        <v>107.05600000000001</v>
      </c>
      <c r="H23" s="39">
        <f t="shared" si="3"/>
        <v>213.852</v>
      </c>
      <c r="I23" s="156"/>
      <c r="K23" s="154">
        <f t="shared" si="0"/>
        <v>204.86800000000002</v>
      </c>
      <c r="M23" s="39">
        <f>825-25</f>
        <v>800</v>
      </c>
      <c r="N23" s="39">
        <v>200</v>
      </c>
      <c r="O23" s="181">
        <f t="shared" si="2"/>
        <v>600</v>
      </c>
    </row>
    <row r="24" spans="1:15" ht="24.75" customHeight="1">
      <c r="A24" s="155">
        <v>16</v>
      </c>
      <c r="B24" s="193" t="s">
        <v>61</v>
      </c>
      <c r="C24" s="39">
        <v>515</v>
      </c>
      <c r="D24" s="39">
        <v>328</v>
      </c>
      <c r="E24" s="167">
        <f t="shared" si="1"/>
        <v>63.689320388349515</v>
      </c>
      <c r="F24" s="39">
        <v>97.35</v>
      </c>
      <c r="G24" s="39">
        <v>99.27000000000001</v>
      </c>
      <c r="H24" s="39">
        <f t="shared" si="3"/>
        <v>196.62</v>
      </c>
      <c r="I24" s="156"/>
      <c r="K24" s="154">
        <f t="shared" si="0"/>
        <v>-9.620000000000005</v>
      </c>
      <c r="M24" s="39">
        <v>515</v>
      </c>
      <c r="N24" s="39">
        <v>0</v>
      </c>
      <c r="O24" s="181">
        <f t="shared" si="2"/>
        <v>515</v>
      </c>
    </row>
    <row r="25" spans="1:15" ht="24.75" customHeight="1">
      <c r="A25" s="155">
        <v>17</v>
      </c>
      <c r="B25" s="194" t="s">
        <v>121</v>
      </c>
      <c r="C25" s="39">
        <v>73</v>
      </c>
      <c r="D25" s="39">
        <v>47.675</v>
      </c>
      <c r="E25" s="167">
        <f t="shared" si="1"/>
        <v>65.30821917808218</v>
      </c>
      <c r="F25" s="39"/>
      <c r="G25" s="39"/>
      <c r="H25" s="39">
        <f t="shared" si="3"/>
        <v>0</v>
      </c>
      <c r="I25" s="156"/>
      <c r="K25" s="154"/>
      <c r="M25" s="39">
        <v>73</v>
      </c>
      <c r="N25" s="39">
        <v>0</v>
      </c>
      <c r="O25" s="181">
        <f t="shared" si="2"/>
        <v>73</v>
      </c>
    </row>
    <row r="26" spans="1:15" ht="24.75" customHeight="1">
      <c r="A26" s="155">
        <v>18</v>
      </c>
      <c r="B26" s="194" t="s">
        <v>122</v>
      </c>
      <c r="C26" s="39">
        <v>730</v>
      </c>
      <c r="D26" s="39">
        <v>312.78</v>
      </c>
      <c r="E26" s="167">
        <f t="shared" si="1"/>
        <v>42.84657534246575</v>
      </c>
      <c r="F26" s="39"/>
      <c r="G26" s="39"/>
      <c r="H26" s="39">
        <f t="shared" si="3"/>
        <v>0</v>
      </c>
      <c r="I26" s="156"/>
      <c r="K26" s="154"/>
      <c r="M26" s="39">
        <v>730</v>
      </c>
      <c r="N26" s="39">
        <v>0</v>
      </c>
      <c r="O26" s="181">
        <f t="shared" si="2"/>
        <v>730</v>
      </c>
    </row>
    <row r="27" spans="1:15" ht="24.75" customHeight="1">
      <c r="A27" s="155">
        <v>19</v>
      </c>
      <c r="B27" s="193" t="s">
        <v>62</v>
      </c>
      <c r="C27" s="39">
        <v>435</v>
      </c>
      <c r="D27" s="39">
        <v>128</v>
      </c>
      <c r="E27" s="167">
        <f t="shared" si="1"/>
        <v>29.42528735632184</v>
      </c>
      <c r="F27" s="39">
        <v>168</v>
      </c>
      <c r="G27" s="39">
        <v>145.6</v>
      </c>
      <c r="H27" s="39">
        <f t="shared" si="3"/>
        <v>313.6</v>
      </c>
      <c r="I27" s="156"/>
      <c r="K27" s="154">
        <f t="shared" si="0"/>
        <v>-6.599999999999994</v>
      </c>
      <c r="M27" s="39">
        <v>435</v>
      </c>
      <c r="N27" s="39">
        <v>0</v>
      </c>
      <c r="O27" s="181">
        <f t="shared" si="2"/>
        <v>435</v>
      </c>
    </row>
    <row r="28" spans="1:15" ht="24.75" customHeight="1">
      <c r="A28" s="155">
        <v>20</v>
      </c>
      <c r="B28" s="193" t="s">
        <v>120</v>
      </c>
      <c r="C28" s="39">
        <v>1032</v>
      </c>
      <c r="D28" s="39">
        <f>37.3+87</f>
        <v>124.3</v>
      </c>
      <c r="E28" s="167">
        <f t="shared" si="1"/>
        <v>12.044573643410853</v>
      </c>
      <c r="F28" s="39"/>
      <c r="G28" s="39"/>
      <c r="H28" s="39">
        <f t="shared" si="3"/>
        <v>0</v>
      </c>
      <c r="I28" s="156"/>
      <c r="K28" s="154">
        <f t="shared" si="0"/>
        <v>907.7</v>
      </c>
      <c r="M28" s="39">
        <f>108.1+625+483.9+15-200</f>
        <v>1032</v>
      </c>
      <c r="N28" s="39">
        <v>0</v>
      </c>
      <c r="O28" s="181">
        <f t="shared" si="2"/>
        <v>1032</v>
      </c>
    </row>
    <row r="29" spans="1:15" ht="24.75" customHeight="1">
      <c r="A29" s="206"/>
      <c r="B29" s="209" t="s">
        <v>4</v>
      </c>
      <c r="C29" s="207">
        <v>3000</v>
      </c>
      <c r="D29" s="207">
        <f>7463-7319+300</f>
        <v>444</v>
      </c>
      <c r="E29" s="167">
        <f t="shared" si="1"/>
        <v>14.799999999999999</v>
      </c>
      <c r="F29" s="207">
        <f>3527-3081</f>
        <v>446</v>
      </c>
      <c r="G29" s="207">
        <f>6132-4382</f>
        <v>1750</v>
      </c>
      <c r="H29" s="39">
        <f t="shared" si="3"/>
        <v>2196</v>
      </c>
      <c r="I29" s="208"/>
      <c r="K29" s="154"/>
      <c r="M29" s="207"/>
      <c r="N29" s="207"/>
      <c r="O29" s="207"/>
    </row>
    <row r="30" spans="1:15" s="157" customFormat="1" ht="24.75" customHeight="1">
      <c r="A30" s="255" t="s">
        <v>5</v>
      </c>
      <c r="B30" s="256"/>
      <c r="C30" s="172">
        <f>SUM(C9:C29)</f>
        <v>19642</v>
      </c>
      <c r="D30" s="172">
        <f>SUM(D9:D29)</f>
        <v>8150.084999999999</v>
      </c>
      <c r="E30" s="164">
        <f>D30/C30*100</f>
        <v>41.49315242846961</v>
      </c>
      <c r="F30" s="172">
        <f>SUM(F9:F29)</f>
        <v>3527.036</v>
      </c>
      <c r="G30" s="172">
        <f>SUM(G9:G29)</f>
        <v>6132.496</v>
      </c>
      <c r="H30" s="172">
        <f>SUM(H9:H29)</f>
        <v>9659.532</v>
      </c>
      <c r="I30" s="166"/>
      <c r="K30" s="154">
        <f t="shared" si="0"/>
        <v>1832.3830000000007</v>
      </c>
      <c r="M30" s="172">
        <f>SUM(M9:M28)</f>
        <v>19642</v>
      </c>
      <c r="N30" s="172">
        <f>SUM(N9:N28)</f>
        <v>3000</v>
      </c>
      <c r="O30" s="172">
        <f>SUM(O9:O28)</f>
        <v>16642</v>
      </c>
    </row>
    <row r="33" spans="1:15" ht="12.75">
      <c r="A33" s="205" t="s">
        <v>124</v>
      </c>
      <c r="B33" s="146"/>
      <c r="C33" s="143">
        <v>15942</v>
      </c>
      <c r="E33" s="146"/>
      <c r="F33" s="146"/>
      <c r="G33" s="146"/>
      <c r="M33" s="143">
        <v>15942</v>
      </c>
      <c r="N33" s="143">
        <v>15942</v>
      </c>
      <c r="O33" s="143">
        <v>15942</v>
      </c>
    </row>
    <row r="34" spans="1:15" ht="12.75">
      <c r="A34" s="205" t="s">
        <v>4</v>
      </c>
      <c r="B34" s="146"/>
      <c r="C34" s="143">
        <v>3000</v>
      </c>
      <c r="E34" s="146"/>
      <c r="F34" s="146"/>
      <c r="G34" s="146"/>
      <c r="H34" s="146"/>
      <c r="M34" s="143">
        <v>3000</v>
      </c>
      <c r="N34" s="143">
        <v>3000</v>
      </c>
      <c r="O34" s="143">
        <v>3000</v>
      </c>
    </row>
    <row r="35" spans="1:15" ht="64.5" customHeight="1">
      <c r="A35" s="142" t="s">
        <v>125</v>
      </c>
      <c r="C35" s="143">
        <v>400</v>
      </c>
      <c r="E35" s="146"/>
      <c r="F35" s="146"/>
      <c r="G35" s="146"/>
      <c r="H35" s="146"/>
      <c r="M35" s="143">
        <v>400</v>
      </c>
      <c r="N35" s="143">
        <v>400</v>
      </c>
      <c r="O35" s="143">
        <v>400</v>
      </c>
    </row>
    <row r="36" spans="1:15" ht="12.75">
      <c r="A36" s="205" t="s">
        <v>126</v>
      </c>
      <c r="B36" s="146"/>
      <c r="C36" s="143">
        <v>300</v>
      </c>
      <c r="E36" s="146"/>
      <c r="F36" s="146"/>
      <c r="G36" s="146"/>
      <c r="H36" s="146"/>
      <c r="M36" s="143">
        <v>300</v>
      </c>
      <c r="N36" s="143">
        <v>300</v>
      </c>
      <c r="O36" s="143">
        <v>300</v>
      </c>
    </row>
    <row r="37" spans="1:8" ht="12.75">
      <c r="A37" s="205"/>
      <c r="B37" s="146"/>
      <c r="E37" s="146"/>
      <c r="F37" s="146"/>
      <c r="G37" s="146"/>
      <c r="H37" s="146"/>
    </row>
    <row r="38" spans="1:15" s="157" customFormat="1" ht="12.75">
      <c r="A38" s="196" t="s">
        <v>127</v>
      </c>
      <c r="C38" s="197">
        <f>SUM(C33:C36)</f>
        <v>19642</v>
      </c>
      <c r="D38" s="197"/>
      <c r="M38" s="197">
        <f>SUM(M33:M36)</f>
        <v>19642</v>
      </c>
      <c r="N38" s="197">
        <f>SUM(N33:N36)</f>
        <v>19642</v>
      </c>
      <c r="O38" s="197">
        <f>SUM(O33:O36)</f>
        <v>19642</v>
      </c>
    </row>
    <row r="39" spans="2:15" ht="12.75">
      <c r="B39" s="141"/>
      <c r="C39" s="141"/>
      <c r="D39" s="146"/>
      <c r="E39" s="146"/>
      <c r="F39" s="146"/>
      <c r="G39" s="146"/>
      <c r="H39" s="146"/>
      <c r="M39" s="141"/>
      <c r="N39" s="141"/>
      <c r="O39" s="141"/>
    </row>
  </sheetData>
  <sheetProtection/>
  <mergeCells count="4">
    <mergeCell ref="A2:I2"/>
    <mergeCell ref="A3:I3"/>
    <mergeCell ref="A5:B5"/>
    <mergeCell ref="A30:B30"/>
  </mergeCells>
  <printOptions/>
  <pageMargins left="0.7" right="0.25" top="0.42" bottom="0.5" header="0.3" footer="0.3"/>
  <pageSetup horizontalDpi="600" verticalDpi="600" orientation="portrait" paperSize="9" scale="93" r:id="rId3"/>
  <headerFooter>
    <oddFooter>&amp;CPage &amp;P</oddFooter>
  </headerFooter>
  <legacyDrawing r:id="rId2"/>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K25"/>
  <sheetViews>
    <sheetView zoomScalePageLayoutView="0" workbookViewId="0" topLeftCell="A1">
      <pane xSplit="1" ySplit="5" topLeftCell="B12" activePane="bottomRight" state="frozen"/>
      <selection pane="topLeft" activeCell="A1" sqref="A1"/>
      <selection pane="topRight" activeCell="B1" sqref="B1"/>
      <selection pane="bottomLeft" activeCell="A6" sqref="A6"/>
      <selection pane="bottomRight" activeCell="G20" sqref="G20"/>
    </sheetView>
  </sheetViews>
  <sheetFormatPr defaultColWidth="9.140625" defaultRowHeight="15"/>
  <cols>
    <col min="1" max="1" width="4.7109375" style="3" customWidth="1"/>
    <col min="2" max="2" width="10.28125" style="1" customWidth="1"/>
    <col min="3" max="3" width="6.7109375" style="1" hidden="1" customWidth="1"/>
    <col min="4" max="4" width="11.140625" style="16" customWidth="1"/>
    <col min="5" max="5" width="13.421875" style="16" customWidth="1"/>
    <col min="6" max="6" width="10.421875" style="36" customWidth="1"/>
    <col min="7" max="8" width="13.28125" style="3" customWidth="1"/>
    <col min="9" max="9" width="10.140625" style="4" customWidth="1"/>
    <col min="10" max="10" width="1.57421875" style="4" customWidth="1"/>
    <col min="11" max="11" width="7.57421875" style="4" customWidth="1"/>
    <col min="12"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46</v>
      </c>
      <c r="I4" s="5" t="s">
        <v>7</v>
      </c>
    </row>
    <row r="5" spans="1:9" s="2" customFormat="1" ht="75" customHeight="1">
      <c r="A5" s="10"/>
      <c r="B5" s="11" t="s">
        <v>0</v>
      </c>
      <c r="C5" s="10" t="s">
        <v>9</v>
      </c>
      <c r="D5" s="10" t="s">
        <v>22</v>
      </c>
      <c r="E5" s="10" t="s">
        <v>6</v>
      </c>
      <c r="F5" s="37" t="s">
        <v>1</v>
      </c>
      <c r="G5" s="10" t="s">
        <v>38</v>
      </c>
      <c r="H5" s="10" t="s">
        <v>39</v>
      </c>
      <c r="I5" s="10" t="s">
        <v>40</v>
      </c>
    </row>
    <row r="6" spans="1:11" ht="24.75" customHeight="1">
      <c r="A6" s="7">
        <v>1</v>
      </c>
      <c r="B6" s="21" t="s">
        <v>47</v>
      </c>
      <c r="C6" s="21"/>
      <c r="D6" s="29">
        <f>+'Summary 2A'!D6+Summary3!D6</f>
        <v>1263</v>
      </c>
      <c r="E6" s="29">
        <f>+'Summary 2A'!E6+Summary3!E6</f>
        <v>630.0799999999999</v>
      </c>
      <c r="F6" s="38">
        <f>+E6/D6</f>
        <v>0.49887569279493266</v>
      </c>
      <c r="G6" s="29">
        <f>+'Summary 2A'!G6+Summary3!G6</f>
        <v>158.06</v>
      </c>
      <c r="H6" s="29">
        <f>+'Summary 2A'!H6+Summary3!H6</f>
        <v>424.16999999999996</v>
      </c>
      <c r="I6" s="21"/>
      <c r="K6" s="42">
        <f>+D6-E6-G6-H6</f>
        <v>50.69000000000011</v>
      </c>
    </row>
    <row r="7" spans="1:11" ht="24.75" customHeight="1">
      <c r="A7" s="26">
        <v>2</v>
      </c>
      <c r="B7" s="22" t="s">
        <v>69</v>
      </c>
      <c r="C7" s="22"/>
      <c r="D7" s="31">
        <f>+'Summary 2A'!D7+Summary3!D7</f>
        <v>787</v>
      </c>
      <c r="E7" s="31">
        <f>+'Summary 2A'!E7+Summary3!E7</f>
        <v>303.01</v>
      </c>
      <c r="F7" s="38">
        <f>+E7/D7</f>
        <v>0.3850190597204574</v>
      </c>
      <c r="G7" s="31">
        <f>+'Summary 2A'!G7+Summary3!G7</f>
        <v>142.95</v>
      </c>
      <c r="H7" s="31">
        <f>+'Summary 2A'!H7+Summary3!H7</f>
        <v>341.03999999999996</v>
      </c>
      <c r="I7" s="22"/>
      <c r="K7" s="42">
        <f>+D7-E7-G7-H7</f>
        <v>0</v>
      </c>
    </row>
    <row r="8" spans="1:11" ht="24.75" customHeight="1">
      <c r="A8" s="26">
        <v>3</v>
      </c>
      <c r="B8" s="23" t="s">
        <v>49</v>
      </c>
      <c r="C8" s="23"/>
      <c r="D8" s="31">
        <f>+'Summary 2A'!D8+Summary3!D8</f>
        <v>2621</v>
      </c>
      <c r="E8" s="31">
        <f>+'Summary 2A'!E8+Summary3!E8</f>
        <v>817</v>
      </c>
      <c r="F8" s="38">
        <f>+E8/D8</f>
        <v>0.3117130866081648</v>
      </c>
      <c r="G8" s="31">
        <f>+'Summary 2A'!G8+Summary3!G8</f>
        <v>247</v>
      </c>
      <c r="H8" s="31">
        <f>+'Summary 2A'!H8+Summary3!H8</f>
        <v>1357</v>
      </c>
      <c r="I8" s="23"/>
      <c r="K8" s="42">
        <f>+D8-E8-G8-H8</f>
        <v>200</v>
      </c>
    </row>
    <row r="9" spans="1:11" ht="24.75" customHeight="1">
      <c r="A9" s="26">
        <v>4</v>
      </c>
      <c r="B9" s="23" t="s">
        <v>50</v>
      </c>
      <c r="C9" s="23"/>
      <c r="D9" s="31">
        <f>+'Summary 2A'!D9+Summary3!D9</f>
        <v>1251</v>
      </c>
      <c r="E9" s="31">
        <f>+'Summary 2A'!E9+Summary3!E9</f>
        <v>302.44</v>
      </c>
      <c r="F9" s="38">
        <f aca="true" t="shared" si="0" ref="F9:F24">+E9/D9</f>
        <v>0.2417585931254996</v>
      </c>
      <c r="G9" s="31">
        <f>+'Summary 2A'!G9+Summary3!G9</f>
        <v>200.59</v>
      </c>
      <c r="H9" s="31">
        <f>+'Summary 2A'!H9+Summary3!H9</f>
        <v>352.03999999999996</v>
      </c>
      <c r="I9" s="23"/>
      <c r="K9" s="42">
        <f aca="true" t="shared" si="1" ref="K9:K25">+D9-E9-G9-H9</f>
        <v>395.92999999999995</v>
      </c>
    </row>
    <row r="10" spans="1:11" s="6" customFormat="1" ht="24.75" customHeight="1">
      <c r="A10" s="26">
        <v>5</v>
      </c>
      <c r="B10" s="23" t="s">
        <v>51</v>
      </c>
      <c r="C10" s="23"/>
      <c r="D10" s="31">
        <f>+'Summary 2A'!D10+Summary3!D10</f>
        <v>1545</v>
      </c>
      <c r="E10" s="31">
        <f>+'Summary 2A'!E10+Summary3!E10</f>
        <v>816.03</v>
      </c>
      <c r="F10" s="38">
        <f t="shared" si="0"/>
        <v>0.5281747572815534</v>
      </c>
      <c r="G10" s="31">
        <f>+'Summary 2A'!G10+Summary3!G10</f>
        <v>313</v>
      </c>
      <c r="H10" s="31">
        <f>+'Summary 2A'!H10+Summary3!H10</f>
        <v>310.41999999999996</v>
      </c>
      <c r="I10" s="23"/>
      <c r="K10" s="42">
        <f t="shared" si="1"/>
        <v>105.55000000000007</v>
      </c>
    </row>
    <row r="11" spans="1:11" ht="24.75" customHeight="1">
      <c r="A11" s="26">
        <v>6</v>
      </c>
      <c r="B11" s="24" t="s">
        <v>70</v>
      </c>
      <c r="C11" s="24"/>
      <c r="D11" s="31">
        <f>+'Summary 2A'!D11+Summary3!D11</f>
        <v>2417</v>
      </c>
      <c r="E11" s="31">
        <f>+'Summary 2A'!E11+Summary3!E11</f>
        <v>851.2</v>
      </c>
      <c r="F11" s="38">
        <f t="shared" si="0"/>
        <v>0.3521721141911461</v>
      </c>
      <c r="G11" s="31">
        <f>+'Summary 2A'!G11+Summary3!G11</f>
        <v>107.1</v>
      </c>
      <c r="H11" s="31">
        <f>+'Summary 2A'!H11+Summary3!H11</f>
        <v>1450.1999999999998</v>
      </c>
      <c r="I11" s="24"/>
      <c r="K11" s="42">
        <f t="shared" si="1"/>
        <v>8.500000000000227</v>
      </c>
    </row>
    <row r="12" spans="1:11" ht="24.75" customHeight="1">
      <c r="A12" s="26">
        <v>7</v>
      </c>
      <c r="B12" s="23" t="s">
        <v>53</v>
      </c>
      <c r="C12" s="23"/>
      <c r="D12" s="31">
        <f>+'Summary 2A'!D12+Summary3!D12</f>
        <v>1409</v>
      </c>
      <c r="E12" s="31">
        <f>+'Summary 2A'!E12+Summary3!E12</f>
        <v>593.36</v>
      </c>
      <c r="F12" s="38">
        <f t="shared" si="0"/>
        <v>0.42112136266855926</v>
      </c>
      <c r="G12" s="31">
        <f>+'Summary 2A'!G12+Summary3!G12</f>
        <v>796.71</v>
      </c>
      <c r="H12" s="31">
        <f>+'Summary 2A'!H12+Summary3!H12</f>
        <v>20</v>
      </c>
      <c r="I12" s="23"/>
      <c r="K12" s="42">
        <f t="shared" si="1"/>
        <v>-1.07000000000005</v>
      </c>
    </row>
    <row r="13" spans="1:11" ht="24.75" customHeight="1">
      <c r="A13" s="26">
        <v>8</v>
      </c>
      <c r="B13" s="23" t="s">
        <v>54</v>
      </c>
      <c r="C13" s="23"/>
      <c r="D13" s="31">
        <f>+'Summary 2A'!D13+Summary3!D13</f>
        <v>753</v>
      </c>
      <c r="E13" s="31">
        <f>+'Summary 2A'!E13+Summary3!E13</f>
        <v>436.3</v>
      </c>
      <c r="F13" s="38">
        <f t="shared" si="0"/>
        <v>0.5794156706507304</v>
      </c>
      <c r="G13" s="31">
        <f>+'Summary 2A'!G13+Summary3!G13</f>
        <v>34</v>
      </c>
      <c r="H13" s="31">
        <f>+'Summary 2A'!H13+Summary3!H13</f>
        <v>51.2</v>
      </c>
      <c r="I13" s="23"/>
      <c r="K13" s="42">
        <f t="shared" si="1"/>
        <v>231.5</v>
      </c>
    </row>
    <row r="14" spans="1:11" s="6" customFormat="1" ht="24.75" customHeight="1">
      <c r="A14" s="26">
        <v>9</v>
      </c>
      <c r="B14" s="23" t="s">
        <v>55</v>
      </c>
      <c r="C14" s="23"/>
      <c r="D14" s="31">
        <f>+'Summary 2A'!D14+Summary3!D14</f>
        <v>1147</v>
      </c>
      <c r="E14" s="31">
        <f>+'Summary 2A'!E14+Summary3!E14</f>
        <v>387.98</v>
      </c>
      <c r="F14" s="38">
        <f t="shared" si="0"/>
        <v>0.338256320836966</v>
      </c>
      <c r="G14" s="31">
        <f>+'Summary 2A'!G14+Summary3!G14</f>
        <v>380</v>
      </c>
      <c r="H14" s="31">
        <f>+'Summary 2A'!H14+Summary3!H14</f>
        <v>296</v>
      </c>
      <c r="I14" s="23"/>
      <c r="K14" s="42">
        <f t="shared" si="1"/>
        <v>83.01999999999998</v>
      </c>
    </row>
    <row r="15" spans="1:11" ht="24.75" customHeight="1">
      <c r="A15" s="26">
        <v>10</v>
      </c>
      <c r="B15" s="23" t="s">
        <v>56</v>
      </c>
      <c r="C15" s="23"/>
      <c r="D15" s="31">
        <f>+'Summary 2A'!D15+Summary3!D15</f>
        <v>870</v>
      </c>
      <c r="E15" s="31">
        <f>+'Summary 2A'!E15+Summary3!E15</f>
        <v>106.25999999999999</v>
      </c>
      <c r="F15" s="38">
        <f t="shared" si="0"/>
        <v>0.12213793103448274</v>
      </c>
      <c r="G15" s="31">
        <f>+'Summary 2A'!G15+Summary3!G15</f>
        <v>266.91</v>
      </c>
      <c r="H15" s="31">
        <f>+'Summary 2A'!H15+Summary3!H15</f>
        <v>205.99</v>
      </c>
      <c r="I15" s="23"/>
      <c r="K15" s="42">
        <f t="shared" si="1"/>
        <v>290.84</v>
      </c>
    </row>
    <row r="16" spans="1:11" s="6" customFormat="1" ht="24.75" customHeight="1">
      <c r="A16" s="26">
        <v>11</v>
      </c>
      <c r="B16" s="23" t="s">
        <v>57</v>
      </c>
      <c r="C16" s="23"/>
      <c r="D16" s="31">
        <f>+'Summary 2A'!D16+Summary3!D16</f>
        <v>702</v>
      </c>
      <c r="E16" s="31">
        <f>+'Summary 2A'!E16+Summary3!E16</f>
        <v>165.51</v>
      </c>
      <c r="F16" s="38">
        <f t="shared" si="0"/>
        <v>0.23576923076923076</v>
      </c>
      <c r="G16" s="31">
        <f>+'Summary 2A'!G16+Summary3!G16</f>
        <v>348.8</v>
      </c>
      <c r="H16" s="31">
        <f>+'Summary 2A'!H16+Summary3!H16</f>
        <v>187.69</v>
      </c>
      <c r="I16" s="23"/>
      <c r="K16" s="42">
        <f t="shared" si="1"/>
        <v>0</v>
      </c>
    </row>
    <row r="17" spans="1:11" ht="24.75" customHeight="1">
      <c r="A17" s="26">
        <v>12</v>
      </c>
      <c r="B17" s="23" t="s">
        <v>58</v>
      </c>
      <c r="C17" s="23"/>
      <c r="D17" s="31">
        <f>+'Summary 2A'!D17+Summary3!D17</f>
        <v>1216</v>
      </c>
      <c r="E17" s="31">
        <f>+'Summary 2A'!E17+Summary3!E17</f>
        <v>404.68</v>
      </c>
      <c r="F17" s="38">
        <f t="shared" si="0"/>
        <v>0.33279605263157896</v>
      </c>
      <c r="G17" s="31">
        <f>+'Summary 2A'!G17+Summary3!G17</f>
        <v>180.1</v>
      </c>
      <c r="H17" s="31">
        <f>+'Summary 2A'!H17+Summary3!H17</f>
        <v>419.33</v>
      </c>
      <c r="I17" s="23"/>
      <c r="K17" s="42">
        <f t="shared" si="1"/>
        <v>211.88999999999993</v>
      </c>
    </row>
    <row r="18" spans="1:11" ht="24.75" customHeight="1">
      <c r="A18" s="26">
        <v>13</v>
      </c>
      <c r="B18" s="23" t="s">
        <v>59</v>
      </c>
      <c r="C18" s="23"/>
      <c r="D18" s="31">
        <f>+'Summary 2A'!D18+Summary3!D18</f>
        <v>421</v>
      </c>
      <c r="E18" s="31">
        <f>+'Summary 2A'!E18+Summary3!E18</f>
        <v>182.63</v>
      </c>
      <c r="F18" s="38">
        <f t="shared" si="0"/>
        <v>0.4338004750593824</v>
      </c>
      <c r="G18" s="31">
        <f>+'Summary 2A'!G18+Summary3!G18</f>
        <v>112</v>
      </c>
      <c r="H18" s="31">
        <f>+'Summary 2A'!H18+Summary3!H18</f>
        <v>125.97</v>
      </c>
      <c r="I18" s="23"/>
      <c r="K18" s="42">
        <f t="shared" si="1"/>
        <v>0.4000000000000057</v>
      </c>
    </row>
    <row r="19" spans="1:11" ht="24.75" customHeight="1">
      <c r="A19" s="26">
        <v>14</v>
      </c>
      <c r="B19" s="23" t="s">
        <v>60</v>
      </c>
      <c r="C19" s="23"/>
      <c r="D19" s="31">
        <f>+'Summary 2A'!D19+Summary3!D19</f>
        <v>825</v>
      </c>
      <c r="E19" s="31">
        <f>+'Summary 2A'!E19+Summary3!E19</f>
        <v>160.57999999999998</v>
      </c>
      <c r="F19" s="38">
        <f t="shared" si="0"/>
        <v>0.19464242424242423</v>
      </c>
      <c r="G19" s="31">
        <f>+'Summary 2A'!G19+Summary3!G19</f>
        <v>134.796</v>
      </c>
      <c r="H19" s="31">
        <f>+'Summary 2A'!H19+Summary3!H19</f>
        <v>186.05599999999998</v>
      </c>
      <c r="I19" s="23"/>
      <c r="K19" s="42">
        <f t="shared" si="1"/>
        <v>343.56800000000004</v>
      </c>
    </row>
    <row r="20" spans="1:11" ht="24.75" customHeight="1">
      <c r="A20" s="26">
        <v>15</v>
      </c>
      <c r="B20" s="23" t="s">
        <v>61</v>
      </c>
      <c r="C20" s="23"/>
      <c r="D20" s="31">
        <f>+'Summary 2A'!D20+Summary3!D20</f>
        <v>515</v>
      </c>
      <c r="E20" s="31">
        <f>+'Summary 2A'!E20+Summary3!E20</f>
        <v>318.38</v>
      </c>
      <c r="F20" s="38">
        <f t="shared" si="0"/>
        <v>0.6182135922330096</v>
      </c>
      <c r="G20" s="31">
        <f>+'Summary 2A'!G20+Summary3!G20</f>
        <v>97.35</v>
      </c>
      <c r="H20" s="31">
        <f>+'Summary 2A'!H20+Summary3!H20</f>
        <v>99.27000000000001</v>
      </c>
      <c r="I20" s="23"/>
      <c r="K20" s="42">
        <f t="shared" si="1"/>
        <v>0</v>
      </c>
    </row>
    <row r="21" spans="1:11" ht="24.75" customHeight="1">
      <c r="A21" s="26">
        <v>16</v>
      </c>
      <c r="B21" s="23" t="s">
        <v>62</v>
      </c>
      <c r="C21" s="23"/>
      <c r="D21" s="31">
        <f>+'Summary 2A'!D21+Summary3!D21</f>
        <v>435</v>
      </c>
      <c r="E21" s="31">
        <f>+'Summary 2A'!E21+Summary3!E21</f>
        <v>74</v>
      </c>
      <c r="F21" s="38">
        <f t="shared" si="0"/>
        <v>0.17011494252873563</v>
      </c>
      <c r="G21" s="31">
        <f>+'Summary 2A'!G21+Summary3!G21</f>
        <v>168</v>
      </c>
      <c r="H21" s="31">
        <f>+'Summary 2A'!H21+Summary3!H21</f>
        <v>145.6</v>
      </c>
      <c r="I21" s="23"/>
      <c r="K21" s="42">
        <f t="shared" si="1"/>
        <v>47.400000000000006</v>
      </c>
    </row>
    <row r="22" spans="1:11" ht="24.75" customHeight="1">
      <c r="A22" s="26">
        <v>17</v>
      </c>
      <c r="B22" s="23" t="s">
        <v>63</v>
      </c>
      <c r="C22" s="23"/>
      <c r="D22" s="31">
        <f>+'Summary 2A'!D22+Summary3!D22</f>
        <v>510</v>
      </c>
      <c r="E22" s="31">
        <f>+'Summary 2A'!E22+Summary3!E22</f>
        <v>1.84</v>
      </c>
      <c r="F22" s="38">
        <f t="shared" si="0"/>
        <v>0.0036078431372549022</v>
      </c>
      <c r="G22" s="31">
        <f>+'Summary 2A'!G22+Summary3!G22</f>
        <v>3.62</v>
      </c>
      <c r="H22" s="31">
        <f>+'Summary 2A'!H22+Summary3!H22</f>
        <v>4.54</v>
      </c>
      <c r="I22" s="23"/>
      <c r="K22" s="42">
        <f t="shared" si="1"/>
        <v>500</v>
      </c>
    </row>
    <row r="23" spans="1:11" ht="24.75" customHeight="1">
      <c r="A23" s="26">
        <v>18</v>
      </c>
      <c r="B23" s="23" t="s">
        <v>64</v>
      </c>
      <c r="C23" s="23"/>
      <c r="D23" s="31">
        <f>+'Summary 2A'!D23+Summary3!D23</f>
        <v>157</v>
      </c>
      <c r="E23" s="31">
        <f>+'Summary 2A'!E23+Summary3!E23</f>
        <v>34.7</v>
      </c>
      <c r="F23" s="38">
        <f t="shared" si="0"/>
        <v>0.22101910828025478</v>
      </c>
      <c r="G23" s="31">
        <f>+'Summary 2A'!G23+Summary3!G23</f>
        <v>0</v>
      </c>
      <c r="H23" s="31">
        <f>+'Summary 2A'!H23+Summary3!H23</f>
        <v>122.3</v>
      </c>
      <c r="I23" s="23"/>
      <c r="K23" s="42">
        <f t="shared" si="1"/>
        <v>0</v>
      </c>
    </row>
    <row r="24" spans="1:11" ht="24.75" customHeight="1">
      <c r="A24" s="27">
        <v>19</v>
      </c>
      <c r="B24" s="25" t="s">
        <v>65</v>
      </c>
      <c r="C24" s="25"/>
      <c r="D24" s="32">
        <f>+'Summary 2A'!D24+Summary3!D24</f>
        <v>164</v>
      </c>
      <c r="E24" s="32">
        <f>+'Summary 2A'!E24+Summary3!E24</f>
        <v>43.66</v>
      </c>
      <c r="F24" s="38">
        <f t="shared" si="0"/>
        <v>0.2662195121951219</v>
      </c>
      <c r="G24" s="32">
        <f>+'Summary 2A'!G24+Summary3!G24</f>
        <v>90.38</v>
      </c>
      <c r="H24" s="32">
        <f>+'Summary 2A'!H24+Summary3!H24</f>
        <v>29.5</v>
      </c>
      <c r="I24" s="25"/>
      <c r="K24" s="42">
        <f t="shared" si="1"/>
        <v>0.46000000000000796</v>
      </c>
    </row>
    <row r="25" spans="1:11" s="6" customFormat="1" ht="24.75" customHeight="1">
      <c r="A25" s="12"/>
      <c r="B25" s="11" t="s">
        <v>5</v>
      </c>
      <c r="C25" s="28"/>
      <c r="D25" s="28">
        <f>SUM(D6:D24)</f>
        <v>19008</v>
      </c>
      <c r="E25" s="28">
        <f>SUM(E6:E24)</f>
        <v>6629.64</v>
      </c>
      <c r="F25" s="37">
        <f>+E25/D25</f>
        <v>0.34878156565656565</v>
      </c>
      <c r="G25" s="28">
        <f>SUM(G6:G24)</f>
        <v>3781.3659999999995</v>
      </c>
      <c r="H25" s="28">
        <f>SUM(H6:H24)</f>
        <v>6128.316</v>
      </c>
      <c r="I25" s="11"/>
      <c r="K25" s="42">
        <f t="shared" si="1"/>
        <v>2468.678000000001</v>
      </c>
    </row>
  </sheetData>
  <sheetProtection/>
  <mergeCells count="2">
    <mergeCell ref="A2:I2"/>
    <mergeCell ref="A3:I3"/>
  </mergeCells>
  <printOptions/>
  <pageMargins left="0.88" right="0.21" top="0.75" bottom="0.75" header="0.3" footer="0.3"/>
  <pageSetup horizontalDpi="600" verticalDpi="600" orientation="portrait" paperSize="9" scale="95" r:id="rId1"/>
  <headerFooter>
    <oddFooter>&amp;L&amp;8&amp;F&amp;A&amp;R&amp;8&amp;D&amp;T</oddFooter>
  </headerFooter>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pane xSplit="3" ySplit="5" topLeftCell="D18" activePane="bottomRight" state="frozen"/>
      <selection pane="topLeft" activeCell="A1" sqref="A1"/>
      <selection pane="topRight" activeCell="D1" sqref="D1"/>
      <selection pane="bottomLeft" activeCell="A6" sqref="A6"/>
      <selection pane="bottomRight" activeCell="H24" sqref="H24"/>
    </sheetView>
  </sheetViews>
  <sheetFormatPr defaultColWidth="9.140625" defaultRowHeight="15"/>
  <cols>
    <col min="1" max="1" width="4.7109375" style="3" customWidth="1"/>
    <col min="2" max="2" width="22.28125" style="1" customWidth="1"/>
    <col min="3" max="3" width="6.7109375" style="1" customWidth="1"/>
    <col min="4" max="4" width="11.140625" style="16" customWidth="1"/>
    <col min="5" max="5" width="12.8515625" style="16" customWidth="1"/>
    <col min="6" max="6" width="8.140625" style="36" customWidth="1"/>
    <col min="7" max="7" width="12.57421875" style="3" customWidth="1"/>
    <col min="8" max="8" width="13.00390625" style="3" customWidth="1"/>
    <col min="9" max="9" width="22.42187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66</v>
      </c>
      <c r="I4" s="5" t="s">
        <v>7</v>
      </c>
    </row>
    <row r="5" spans="1:9" s="2" customFormat="1" ht="76.5" customHeight="1">
      <c r="A5" s="10"/>
      <c r="B5" s="11" t="s">
        <v>0</v>
      </c>
      <c r="C5" s="10" t="s">
        <v>9</v>
      </c>
      <c r="D5" s="17" t="s">
        <v>22</v>
      </c>
      <c r="E5" s="17" t="s">
        <v>6</v>
      </c>
      <c r="F5" s="37" t="s">
        <v>1</v>
      </c>
      <c r="G5" s="17" t="s">
        <v>38</v>
      </c>
      <c r="H5" s="10" t="s">
        <v>39</v>
      </c>
      <c r="I5" s="10" t="s">
        <v>40</v>
      </c>
    </row>
    <row r="6" spans="1:9" ht="24.75" customHeight="1">
      <c r="A6" s="7">
        <v>1</v>
      </c>
      <c r="B6" s="21" t="s">
        <v>47</v>
      </c>
      <c r="C6" s="21"/>
      <c r="D6" s="30">
        <v>674</v>
      </c>
      <c r="E6" s="30">
        <v>342.3</v>
      </c>
      <c r="F6" s="38">
        <f>+E6/D6</f>
        <v>0.5078635014836795</v>
      </c>
      <c r="G6" s="30">
        <v>85</v>
      </c>
      <c r="H6" s="30">
        <v>246.7</v>
      </c>
      <c r="I6" s="21"/>
    </row>
    <row r="7" spans="1:9" ht="24.75" customHeight="1">
      <c r="A7" s="26">
        <v>2</v>
      </c>
      <c r="B7" s="22" t="s">
        <v>48</v>
      </c>
      <c r="C7" s="22"/>
      <c r="D7" s="33">
        <v>512</v>
      </c>
      <c r="E7" s="33">
        <v>161.02</v>
      </c>
      <c r="F7" s="38">
        <f>+E7/D7</f>
        <v>0.3144921875</v>
      </c>
      <c r="G7" s="33">
        <v>78.95</v>
      </c>
      <c r="H7" s="33">
        <v>272.03</v>
      </c>
      <c r="I7" s="22"/>
    </row>
    <row r="8" spans="1:9" ht="24.75" customHeight="1">
      <c r="A8" s="26">
        <v>3</v>
      </c>
      <c r="B8" s="23" t="s">
        <v>49</v>
      </c>
      <c r="C8" s="23"/>
      <c r="D8" s="34">
        <v>2006</v>
      </c>
      <c r="E8" s="34">
        <v>490</v>
      </c>
      <c r="F8" s="38">
        <f>+E8/D8</f>
        <v>0.24426719840478564</v>
      </c>
      <c r="G8" s="34">
        <v>175</v>
      </c>
      <c r="H8" s="34">
        <v>1120</v>
      </c>
      <c r="I8" s="23"/>
    </row>
    <row r="9" spans="1:9" ht="24.75" customHeight="1">
      <c r="A9" s="26">
        <v>4</v>
      </c>
      <c r="B9" s="23" t="s">
        <v>50</v>
      </c>
      <c r="C9" s="23"/>
      <c r="D9" s="34">
        <v>670</v>
      </c>
      <c r="E9" s="34">
        <v>98.72</v>
      </c>
      <c r="F9" s="38">
        <f>+E9/D9</f>
        <v>0.14734328358208956</v>
      </c>
      <c r="G9" s="34">
        <v>81.4</v>
      </c>
      <c r="H9" s="34">
        <v>213</v>
      </c>
      <c r="I9" s="23"/>
    </row>
    <row r="10" spans="1:9" s="6" customFormat="1" ht="24.75" customHeight="1">
      <c r="A10" s="26">
        <v>5</v>
      </c>
      <c r="B10" s="23" t="s">
        <v>51</v>
      </c>
      <c r="C10" s="23"/>
      <c r="D10" s="34">
        <v>566</v>
      </c>
      <c r="E10" s="34">
        <v>285.45</v>
      </c>
      <c r="F10" s="38">
        <f aca="true" t="shared" si="0" ref="F10:F24">+E10/D10</f>
        <v>0.5043286219081272</v>
      </c>
      <c r="G10" s="34">
        <v>26</v>
      </c>
      <c r="H10" s="34">
        <v>149</v>
      </c>
      <c r="I10" s="23"/>
    </row>
    <row r="11" spans="1:9" ht="24.75" customHeight="1">
      <c r="A11" s="26">
        <v>6</v>
      </c>
      <c r="B11" s="24" t="s">
        <v>52</v>
      </c>
      <c r="C11" s="24"/>
      <c r="D11" s="33">
        <v>1605</v>
      </c>
      <c r="E11" s="33">
        <v>684</v>
      </c>
      <c r="F11" s="38">
        <f t="shared" si="0"/>
        <v>0.4261682242990654</v>
      </c>
      <c r="G11" s="33">
        <v>105.1</v>
      </c>
      <c r="H11" s="33">
        <v>572.9</v>
      </c>
      <c r="I11" s="24"/>
    </row>
    <row r="12" spans="1:9" ht="24.75" customHeight="1">
      <c r="A12" s="26">
        <v>7</v>
      </c>
      <c r="B12" s="23" t="s">
        <v>53</v>
      </c>
      <c r="C12" s="23"/>
      <c r="D12" s="34">
        <v>945</v>
      </c>
      <c r="E12" s="34">
        <v>393.56</v>
      </c>
      <c r="F12" s="38">
        <f t="shared" si="0"/>
        <v>0.4164656084656085</v>
      </c>
      <c r="G12" s="34">
        <v>551.44</v>
      </c>
      <c r="H12" s="34">
        <v>0</v>
      </c>
      <c r="I12" s="23"/>
    </row>
    <row r="13" spans="1:9" ht="24.75" customHeight="1">
      <c r="A13" s="26">
        <v>8</v>
      </c>
      <c r="B13" s="23" t="s">
        <v>54</v>
      </c>
      <c r="C13" s="23"/>
      <c r="D13" s="34">
        <v>519</v>
      </c>
      <c r="E13" s="34">
        <v>265</v>
      </c>
      <c r="F13" s="38">
        <f t="shared" si="0"/>
        <v>0.5105973025048169</v>
      </c>
      <c r="G13" s="34">
        <v>5</v>
      </c>
      <c r="H13" s="34">
        <v>24</v>
      </c>
      <c r="I13" s="23"/>
    </row>
    <row r="14" spans="1:9" s="6" customFormat="1" ht="24.75" customHeight="1">
      <c r="A14" s="26">
        <v>9</v>
      </c>
      <c r="B14" s="23" t="s">
        <v>55</v>
      </c>
      <c r="C14" s="23"/>
      <c r="D14" s="34">
        <v>737</v>
      </c>
      <c r="E14" s="34">
        <v>240.01</v>
      </c>
      <c r="F14" s="38">
        <f t="shared" si="0"/>
        <v>0.32565807327001356</v>
      </c>
      <c r="G14" s="34">
        <v>140</v>
      </c>
      <c r="H14" s="34">
        <v>283</v>
      </c>
      <c r="I14" s="23"/>
    </row>
    <row r="15" spans="1:9" ht="24.75" customHeight="1">
      <c r="A15" s="26">
        <v>10</v>
      </c>
      <c r="B15" s="23" t="s">
        <v>56</v>
      </c>
      <c r="C15" s="23"/>
      <c r="D15" s="34">
        <v>540</v>
      </c>
      <c r="E15" s="34">
        <v>11.16</v>
      </c>
      <c r="F15" s="38">
        <f t="shared" si="0"/>
        <v>0.020666666666666667</v>
      </c>
      <c r="G15" s="34">
        <v>90.64</v>
      </c>
      <c r="H15" s="34">
        <v>147.36</v>
      </c>
      <c r="I15" s="23"/>
    </row>
    <row r="16" spans="1:9" s="6" customFormat="1" ht="24.75" customHeight="1">
      <c r="A16" s="26">
        <v>11</v>
      </c>
      <c r="B16" s="23" t="s">
        <v>57</v>
      </c>
      <c r="C16" s="23"/>
      <c r="D16" s="34">
        <v>210</v>
      </c>
      <c r="E16" s="34">
        <v>23.04</v>
      </c>
      <c r="F16" s="38">
        <f t="shared" si="0"/>
        <v>0.10971428571428571</v>
      </c>
      <c r="G16" s="34">
        <v>126.96</v>
      </c>
      <c r="H16" s="34">
        <v>60</v>
      </c>
      <c r="I16" s="23"/>
    </row>
    <row r="17" spans="1:9" ht="24.75" customHeight="1">
      <c r="A17" s="26">
        <v>12</v>
      </c>
      <c r="B17" s="23" t="s">
        <v>58</v>
      </c>
      <c r="C17" s="23"/>
      <c r="D17" s="34">
        <v>850.31</v>
      </c>
      <c r="E17" s="34">
        <v>172.8</v>
      </c>
      <c r="F17" s="38">
        <f t="shared" si="0"/>
        <v>0.20322000211687505</v>
      </c>
      <c r="G17" s="34">
        <v>100.1</v>
      </c>
      <c r="H17" s="34">
        <v>369.21</v>
      </c>
      <c r="I17" s="23"/>
    </row>
    <row r="18" spans="1:9" ht="24.75" customHeight="1">
      <c r="A18" s="26">
        <v>13</v>
      </c>
      <c r="B18" s="23" t="s">
        <v>59</v>
      </c>
      <c r="C18" s="23"/>
      <c r="D18" s="34">
        <v>250</v>
      </c>
      <c r="E18" s="34">
        <v>109.65</v>
      </c>
      <c r="F18" s="38">
        <f t="shared" si="0"/>
        <v>0.43860000000000005</v>
      </c>
      <c r="G18" s="34">
        <v>56</v>
      </c>
      <c r="H18" s="34">
        <v>84.35</v>
      </c>
      <c r="I18" s="23"/>
    </row>
    <row r="19" spans="1:9" ht="24.75" customHeight="1">
      <c r="A19" s="26">
        <v>14</v>
      </c>
      <c r="B19" s="23" t="s">
        <v>60</v>
      </c>
      <c r="C19" s="23"/>
      <c r="D19" s="34">
        <v>551.77</v>
      </c>
      <c r="E19" s="34">
        <v>76.2</v>
      </c>
      <c r="F19" s="38">
        <f t="shared" si="0"/>
        <v>0.13810102035268318</v>
      </c>
      <c r="G19" s="34">
        <v>27.603</v>
      </c>
      <c r="H19" s="34">
        <v>78.863</v>
      </c>
      <c r="I19" s="23"/>
    </row>
    <row r="20" spans="1:9" ht="24.75" customHeight="1">
      <c r="A20" s="26">
        <v>15</v>
      </c>
      <c r="B20" s="23" t="s">
        <v>61</v>
      </c>
      <c r="C20" s="23"/>
      <c r="D20" s="34">
        <v>419</v>
      </c>
      <c r="E20" s="34">
        <v>303.13</v>
      </c>
      <c r="F20" s="38">
        <f t="shared" si="0"/>
        <v>0.7234606205250597</v>
      </c>
      <c r="G20" s="34">
        <v>67.8</v>
      </c>
      <c r="H20" s="34">
        <v>48.07</v>
      </c>
      <c r="I20" s="23"/>
    </row>
    <row r="21" spans="1:9" ht="24.75" customHeight="1">
      <c r="A21" s="26">
        <v>16</v>
      </c>
      <c r="B21" s="23" t="s">
        <v>62</v>
      </c>
      <c r="C21" s="23"/>
      <c r="D21" s="34">
        <v>420</v>
      </c>
      <c r="E21" s="34">
        <v>59</v>
      </c>
      <c r="F21" s="38">
        <f t="shared" si="0"/>
        <v>0.14047619047619048</v>
      </c>
      <c r="G21" s="34">
        <v>153</v>
      </c>
      <c r="H21" s="34">
        <v>145.6</v>
      </c>
      <c r="I21" s="23"/>
    </row>
    <row r="22" spans="1:9" ht="24.75" customHeight="1">
      <c r="A22" s="26">
        <v>17</v>
      </c>
      <c r="B22" s="23" t="s">
        <v>63</v>
      </c>
      <c r="C22" s="23"/>
      <c r="D22" s="34">
        <v>500</v>
      </c>
      <c r="E22" s="34">
        <v>0</v>
      </c>
      <c r="F22" s="38">
        <f t="shared" si="0"/>
        <v>0</v>
      </c>
      <c r="G22" s="34">
        <v>0</v>
      </c>
      <c r="H22" s="34">
        <v>0</v>
      </c>
      <c r="I22" s="23"/>
    </row>
    <row r="23" spans="1:9" ht="24.75" customHeight="1">
      <c r="A23" s="26">
        <v>18</v>
      </c>
      <c r="B23" s="23" t="s">
        <v>64</v>
      </c>
      <c r="C23" s="23"/>
      <c r="D23" s="34">
        <v>0</v>
      </c>
      <c r="E23" s="34">
        <v>0</v>
      </c>
      <c r="F23" s="38" t="s">
        <v>68</v>
      </c>
      <c r="G23" s="34">
        <v>0</v>
      </c>
      <c r="H23" s="34">
        <v>0</v>
      </c>
      <c r="I23" s="23"/>
    </row>
    <row r="24" spans="1:9" ht="24.75" customHeight="1">
      <c r="A24" s="27">
        <v>19</v>
      </c>
      <c r="B24" s="25" t="s">
        <v>65</v>
      </c>
      <c r="C24" s="25"/>
      <c r="D24" s="35">
        <v>104</v>
      </c>
      <c r="E24" s="35">
        <v>28.64</v>
      </c>
      <c r="F24" s="38">
        <f t="shared" si="0"/>
        <v>0.2753846153846154</v>
      </c>
      <c r="G24" s="35">
        <v>75.36</v>
      </c>
      <c r="H24" s="35">
        <v>0</v>
      </c>
      <c r="I24" s="25"/>
    </row>
    <row r="25" spans="1:9" s="6" customFormat="1" ht="24.75" customHeight="1">
      <c r="A25" s="12"/>
      <c r="B25" s="11" t="s">
        <v>5</v>
      </c>
      <c r="C25" s="28"/>
      <c r="D25" s="28">
        <f>SUM(D6:D24)</f>
        <v>12079.08</v>
      </c>
      <c r="E25" s="28">
        <f>SUM(E6:E24)</f>
        <v>3743.6799999999994</v>
      </c>
      <c r="F25" s="37">
        <f>+E25/D25</f>
        <v>0.3099308887762975</v>
      </c>
      <c r="G25" s="28">
        <f>SUM(G6:G24)</f>
        <v>1945.353</v>
      </c>
      <c r="H25" s="28">
        <f>SUM(H6:H24)</f>
        <v>3814.083</v>
      </c>
      <c r="I25" s="11"/>
    </row>
  </sheetData>
  <sheetProtection/>
  <mergeCells count="2">
    <mergeCell ref="A2:I2"/>
    <mergeCell ref="A3:I3"/>
  </mergeCells>
  <printOptions/>
  <pageMargins left="0.49" right="0.21" top="0.75" bottom="0.75" header="0.3" footer="0.3"/>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I25"/>
  <sheetViews>
    <sheetView zoomScalePageLayoutView="0" workbookViewId="0" topLeftCell="A1">
      <pane xSplit="3" ySplit="5" topLeftCell="D22" activePane="bottomRight" state="frozen"/>
      <selection pane="topLeft" activeCell="A1" sqref="A1"/>
      <selection pane="topRight" activeCell="D1" sqref="D1"/>
      <selection pane="bottomLeft" activeCell="A6" sqref="A6"/>
      <selection pane="bottomRight" activeCell="H24" sqref="H24"/>
    </sheetView>
  </sheetViews>
  <sheetFormatPr defaultColWidth="9.140625" defaultRowHeight="15"/>
  <cols>
    <col min="1" max="1" width="4.7109375" style="3" customWidth="1"/>
    <col min="2" max="2" width="22.140625" style="1" customWidth="1"/>
    <col min="3" max="3" width="6.7109375" style="1" customWidth="1"/>
    <col min="4" max="4" width="11.140625" style="16" customWidth="1"/>
    <col min="5" max="5" width="12.8515625" style="16" customWidth="1"/>
    <col min="6" max="6" width="8.140625" style="36" customWidth="1"/>
    <col min="7" max="7" width="12.57421875" style="3" customWidth="1"/>
    <col min="8" max="8" width="13.00390625" style="3" customWidth="1"/>
    <col min="9" max="9" width="34.8515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67</v>
      </c>
      <c r="I4" s="5" t="s">
        <v>7</v>
      </c>
    </row>
    <row r="5" spans="1:9" s="2" customFormat="1" ht="76.5" customHeight="1">
      <c r="A5" s="10"/>
      <c r="B5" s="11" t="s">
        <v>0</v>
      </c>
      <c r="C5" s="10" t="s">
        <v>9</v>
      </c>
      <c r="D5" s="17" t="s">
        <v>22</v>
      </c>
      <c r="E5" s="17" t="s">
        <v>6</v>
      </c>
      <c r="F5" s="37" t="s">
        <v>1</v>
      </c>
      <c r="G5" s="17" t="s">
        <v>38</v>
      </c>
      <c r="H5" s="10" t="s">
        <v>39</v>
      </c>
      <c r="I5" s="10" t="s">
        <v>40</v>
      </c>
    </row>
    <row r="6" spans="1:9" ht="24.75" customHeight="1">
      <c r="A6" s="7">
        <v>1</v>
      </c>
      <c r="B6" s="21" t="s">
        <v>47</v>
      </c>
      <c r="C6" s="21"/>
      <c r="D6" s="29">
        <v>589</v>
      </c>
      <c r="E6" s="29">
        <v>287.78</v>
      </c>
      <c r="F6" s="38">
        <f>+E6/D6</f>
        <v>0.4885908319185059</v>
      </c>
      <c r="G6" s="29">
        <v>73.06</v>
      </c>
      <c r="H6" s="29">
        <v>177.47</v>
      </c>
      <c r="I6" s="21"/>
    </row>
    <row r="7" spans="1:9" ht="24.75" customHeight="1">
      <c r="A7" s="26">
        <v>2</v>
      </c>
      <c r="B7" s="22" t="s">
        <v>48</v>
      </c>
      <c r="C7" s="22"/>
      <c r="D7" s="39">
        <v>275</v>
      </c>
      <c r="E7" s="39">
        <v>141.99</v>
      </c>
      <c r="F7" s="38">
        <f>+E7/D7</f>
        <v>0.5163272727272727</v>
      </c>
      <c r="G7" s="39">
        <v>64</v>
      </c>
      <c r="H7" s="39">
        <v>69.01</v>
      </c>
      <c r="I7" s="22"/>
    </row>
    <row r="8" spans="1:9" ht="24.75" customHeight="1">
      <c r="A8" s="26">
        <v>3</v>
      </c>
      <c r="B8" s="23" t="s">
        <v>49</v>
      </c>
      <c r="C8" s="23"/>
      <c r="D8" s="40">
        <v>615</v>
      </c>
      <c r="E8" s="40">
        <v>327</v>
      </c>
      <c r="F8" s="38">
        <f>+E8/D8</f>
        <v>0.5317073170731708</v>
      </c>
      <c r="G8" s="40">
        <v>72</v>
      </c>
      <c r="H8" s="40">
        <v>237</v>
      </c>
      <c r="I8" s="23"/>
    </row>
    <row r="9" spans="1:9" ht="24.75" customHeight="1">
      <c r="A9" s="26">
        <v>4</v>
      </c>
      <c r="B9" s="23" t="s">
        <v>50</v>
      </c>
      <c r="C9" s="23"/>
      <c r="D9" s="40">
        <v>581</v>
      </c>
      <c r="E9" s="40">
        <v>203.72</v>
      </c>
      <c r="F9" s="38">
        <f aca="true" t="shared" si="0" ref="F9:F24">+E9/D9</f>
        <v>0.3506368330464716</v>
      </c>
      <c r="G9" s="40">
        <v>119.19</v>
      </c>
      <c r="H9" s="40">
        <v>139.04</v>
      </c>
      <c r="I9" s="23"/>
    </row>
    <row r="10" spans="1:9" s="6" customFormat="1" ht="24.75" customHeight="1">
      <c r="A10" s="26">
        <v>5</v>
      </c>
      <c r="B10" s="23" t="s">
        <v>51</v>
      </c>
      <c r="C10" s="23"/>
      <c r="D10" s="40">
        <v>979</v>
      </c>
      <c r="E10" s="40">
        <v>530.58</v>
      </c>
      <c r="F10" s="38">
        <f t="shared" si="0"/>
        <v>0.5419611848825332</v>
      </c>
      <c r="G10" s="40">
        <v>287</v>
      </c>
      <c r="H10" s="40">
        <v>161.42</v>
      </c>
      <c r="I10" s="23"/>
    </row>
    <row r="11" spans="1:9" ht="24.75" customHeight="1">
      <c r="A11" s="26">
        <v>6</v>
      </c>
      <c r="B11" s="24" t="s">
        <v>52</v>
      </c>
      <c r="C11" s="24"/>
      <c r="D11" s="31">
        <v>812</v>
      </c>
      <c r="E11" s="31">
        <v>167.2</v>
      </c>
      <c r="F11" s="38">
        <f t="shared" si="0"/>
        <v>0.20591133004926107</v>
      </c>
      <c r="G11" s="31">
        <v>2</v>
      </c>
      <c r="H11" s="31">
        <v>877.3</v>
      </c>
      <c r="I11" s="24"/>
    </row>
    <row r="12" spans="1:9" ht="24.75" customHeight="1">
      <c r="A12" s="26">
        <v>7</v>
      </c>
      <c r="B12" s="23" t="s">
        <v>53</v>
      </c>
      <c r="C12" s="23"/>
      <c r="D12" s="40">
        <v>464</v>
      </c>
      <c r="E12" s="40">
        <v>199.8</v>
      </c>
      <c r="F12" s="38">
        <f t="shared" si="0"/>
        <v>0.4306034482758621</v>
      </c>
      <c r="G12" s="40">
        <v>245.27</v>
      </c>
      <c r="H12" s="40">
        <v>20</v>
      </c>
      <c r="I12" s="23"/>
    </row>
    <row r="13" spans="1:9" ht="24.75" customHeight="1">
      <c r="A13" s="26">
        <v>8</v>
      </c>
      <c r="B13" s="23" t="s">
        <v>54</v>
      </c>
      <c r="C13" s="23"/>
      <c r="D13" s="40">
        <v>234</v>
      </c>
      <c r="E13" s="40">
        <v>171.3</v>
      </c>
      <c r="F13" s="38">
        <f t="shared" si="0"/>
        <v>0.7320512820512821</v>
      </c>
      <c r="G13" s="40">
        <v>29</v>
      </c>
      <c r="H13" s="40">
        <v>27.2</v>
      </c>
      <c r="I13" s="23"/>
    </row>
    <row r="14" spans="1:9" s="6" customFormat="1" ht="24.75" customHeight="1">
      <c r="A14" s="26">
        <v>9</v>
      </c>
      <c r="B14" s="23" t="s">
        <v>55</v>
      </c>
      <c r="C14" s="23"/>
      <c r="D14" s="40">
        <v>410</v>
      </c>
      <c r="E14" s="40">
        <v>147.97</v>
      </c>
      <c r="F14" s="38">
        <f t="shared" si="0"/>
        <v>0.36090243902439023</v>
      </c>
      <c r="G14" s="40">
        <v>240</v>
      </c>
      <c r="H14" s="40">
        <v>13</v>
      </c>
      <c r="I14" s="23"/>
    </row>
    <row r="15" spans="1:9" ht="24.75" customHeight="1">
      <c r="A15" s="26">
        <v>10</v>
      </c>
      <c r="B15" s="23" t="s">
        <v>56</v>
      </c>
      <c r="C15" s="23"/>
      <c r="D15" s="40">
        <v>330</v>
      </c>
      <c r="E15" s="40">
        <v>95.1</v>
      </c>
      <c r="F15" s="38">
        <f t="shared" si="0"/>
        <v>0.28818181818181815</v>
      </c>
      <c r="G15" s="40">
        <v>176.27</v>
      </c>
      <c r="H15" s="40">
        <v>58.63</v>
      </c>
      <c r="I15" s="23"/>
    </row>
    <row r="16" spans="1:9" s="6" customFormat="1" ht="24.75" customHeight="1">
      <c r="A16" s="26">
        <v>11</v>
      </c>
      <c r="B16" s="23" t="s">
        <v>57</v>
      </c>
      <c r="C16" s="23"/>
      <c r="D16" s="40">
        <v>492</v>
      </c>
      <c r="E16" s="40">
        <v>142.47</v>
      </c>
      <c r="F16" s="38">
        <f t="shared" si="0"/>
        <v>0.2895731707317073</v>
      </c>
      <c r="G16" s="40">
        <v>221.84</v>
      </c>
      <c r="H16" s="40">
        <v>127.69</v>
      </c>
      <c r="I16" s="23"/>
    </row>
    <row r="17" spans="1:9" ht="24.75" customHeight="1">
      <c r="A17" s="26">
        <v>12</v>
      </c>
      <c r="B17" s="23" t="s">
        <v>58</v>
      </c>
      <c r="C17" s="23"/>
      <c r="D17" s="40">
        <v>365.69</v>
      </c>
      <c r="E17" s="40">
        <v>231.88</v>
      </c>
      <c r="F17" s="38">
        <f t="shared" si="0"/>
        <v>0.6340889824714923</v>
      </c>
      <c r="G17" s="40">
        <v>80</v>
      </c>
      <c r="H17" s="40">
        <v>50.12</v>
      </c>
      <c r="I17" s="23"/>
    </row>
    <row r="18" spans="1:9" ht="24.75" customHeight="1">
      <c r="A18" s="26">
        <v>13</v>
      </c>
      <c r="B18" s="23" t="s">
        <v>59</v>
      </c>
      <c r="C18" s="23"/>
      <c r="D18" s="40">
        <v>171</v>
      </c>
      <c r="E18" s="40">
        <v>72.98</v>
      </c>
      <c r="F18" s="38">
        <f t="shared" si="0"/>
        <v>0.42678362573099415</v>
      </c>
      <c r="G18" s="40">
        <v>56</v>
      </c>
      <c r="H18" s="40">
        <v>41.62</v>
      </c>
      <c r="I18" s="23"/>
    </row>
    <row r="19" spans="1:9" ht="24.75" customHeight="1">
      <c r="A19" s="26">
        <v>14</v>
      </c>
      <c r="B19" s="23" t="s">
        <v>60</v>
      </c>
      <c r="C19" s="23"/>
      <c r="D19" s="40">
        <v>273.23</v>
      </c>
      <c r="E19" s="40">
        <v>84.38</v>
      </c>
      <c r="F19" s="38">
        <f t="shared" si="0"/>
        <v>0.3088240676353255</v>
      </c>
      <c r="G19" s="40">
        <f>99.193+8</f>
        <v>107.193</v>
      </c>
      <c r="H19" s="40">
        <f>99.193+8</f>
        <v>107.193</v>
      </c>
      <c r="I19" s="23"/>
    </row>
    <row r="20" spans="1:9" ht="24.75" customHeight="1">
      <c r="A20" s="26">
        <v>15</v>
      </c>
      <c r="B20" s="23" t="s">
        <v>61</v>
      </c>
      <c r="C20" s="23"/>
      <c r="D20" s="40">
        <v>96</v>
      </c>
      <c r="E20" s="40">
        <v>15.25</v>
      </c>
      <c r="F20" s="38">
        <f t="shared" si="0"/>
        <v>0.15885416666666666</v>
      </c>
      <c r="G20" s="40">
        <v>29.55</v>
      </c>
      <c r="H20" s="40">
        <v>51.2</v>
      </c>
      <c r="I20" s="23"/>
    </row>
    <row r="21" spans="1:9" ht="24.75" customHeight="1">
      <c r="A21" s="26">
        <v>16</v>
      </c>
      <c r="B21" s="23" t="s">
        <v>62</v>
      </c>
      <c r="C21" s="23"/>
      <c r="D21" s="40">
        <v>15</v>
      </c>
      <c r="E21" s="40">
        <v>15</v>
      </c>
      <c r="F21" s="38">
        <f t="shared" si="0"/>
        <v>1</v>
      </c>
      <c r="G21" s="40">
        <v>15</v>
      </c>
      <c r="H21" s="40">
        <v>0</v>
      </c>
      <c r="I21" s="23"/>
    </row>
    <row r="22" spans="1:9" ht="24.75" customHeight="1">
      <c r="A22" s="26">
        <v>17</v>
      </c>
      <c r="B22" s="23" t="s">
        <v>63</v>
      </c>
      <c r="C22" s="23"/>
      <c r="D22" s="40">
        <v>10</v>
      </c>
      <c r="E22" s="40">
        <v>1.84</v>
      </c>
      <c r="F22" s="38">
        <f t="shared" si="0"/>
        <v>0.184</v>
      </c>
      <c r="G22" s="40">
        <v>3.62</v>
      </c>
      <c r="H22" s="40">
        <v>4.54</v>
      </c>
      <c r="I22" s="23"/>
    </row>
    <row r="23" spans="1:9" ht="24.75" customHeight="1">
      <c r="A23" s="26">
        <v>18</v>
      </c>
      <c r="B23" s="23" t="s">
        <v>64</v>
      </c>
      <c r="C23" s="23"/>
      <c r="D23" s="40">
        <v>157</v>
      </c>
      <c r="E23" s="40">
        <v>34.7</v>
      </c>
      <c r="F23" s="38">
        <f t="shared" si="0"/>
        <v>0.22101910828025478</v>
      </c>
      <c r="G23" s="40">
        <v>0</v>
      </c>
      <c r="H23" s="40">
        <v>122.3</v>
      </c>
      <c r="I23" s="23"/>
    </row>
    <row r="24" spans="1:9" ht="24.75" customHeight="1">
      <c r="A24" s="27">
        <v>19</v>
      </c>
      <c r="B24" s="25" t="s">
        <v>65</v>
      </c>
      <c r="C24" s="25"/>
      <c r="D24" s="41">
        <v>60</v>
      </c>
      <c r="E24" s="41">
        <v>15.02</v>
      </c>
      <c r="F24" s="38">
        <f t="shared" si="0"/>
        <v>0.25033333333333335</v>
      </c>
      <c r="G24" s="41">
        <v>15.02</v>
      </c>
      <c r="H24" s="41">
        <v>29.5</v>
      </c>
      <c r="I24" s="25"/>
    </row>
    <row r="25" spans="1:9" s="6" customFormat="1" ht="24.75" customHeight="1">
      <c r="A25" s="12"/>
      <c r="B25" s="11" t="s">
        <v>5</v>
      </c>
      <c r="C25" s="28"/>
      <c r="D25" s="28">
        <f>SUM(D6:D24)</f>
        <v>6928.92</v>
      </c>
      <c r="E25" s="28">
        <f>SUM(E6:E24)</f>
        <v>2885.96</v>
      </c>
      <c r="F25" s="37">
        <f>+E25/D25</f>
        <v>0.41650935499327457</v>
      </c>
      <c r="G25" s="28">
        <f>SUM(G6:G24)</f>
        <v>1836.0129999999997</v>
      </c>
      <c r="H25" s="28">
        <f>SUM(H6:H24)</f>
        <v>2314.2329999999997</v>
      </c>
      <c r="I25" s="11"/>
    </row>
  </sheetData>
  <sheetProtection/>
  <mergeCells count="2">
    <mergeCell ref="A2:I2"/>
    <mergeCell ref="A3:I3"/>
  </mergeCells>
  <printOptions/>
  <pageMargins left="0.49" right="0.21" top="0.75" bottom="0.75" header="0.3" footer="0.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P28"/>
  <sheetViews>
    <sheetView zoomScalePageLayoutView="0" workbookViewId="0" topLeftCell="A13">
      <selection activeCell="E6" sqref="E6"/>
    </sheetView>
  </sheetViews>
  <sheetFormatPr defaultColWidth="9.140625" defaultRowHeight="15"/>
  <cols>
    <col min="1" max="1" width="4.7109375" style="141" customWidth="1"/>
    <col min="2" max="2" width="11.421875" style="142" customWidth="1"/>
    <col min="3" max="4" width="13.28125" style="143" customWidth="1"/>
    <col min="5" max="5" width="11.8515625" style="144" customWidth="1"/>
    <col min="6" max="8" width="13.28125" style="141" customWidth="1"/>
    <col min="9" max="9" width="0.71875" style="146" hidden="1" customWidth="1"/>
    <col min="10" max="10" width="1.57421875" style="146" hidden="1" customWidth="1"/>
    <col min="11" max="11" width="7.57421875" style="146" hidden="1" customWidth="1"/>
    <col min="12" max="16384" width="9.140625" style="146" customWidth="1"/>
  </cols>
  <sheetData>
    <row r="1" ht="12.75">
      <c r="H1" s="145" t="s">
        <v>18</v>
      </c>
    </row>
    <row r="2" spans="1:9" ht="24.75" customHeight="1">
      <c r="A2" s="252" t="s">
        <v>16</v>
      </c>
      <c r="B2" s="252"/>
      <c r="C2" s="252"/>
      <c r="D2" s="252"/>
      <c r="E2" s="252"/>
      <c r="F2" s="252"/>
      <c r="G2" s="252"/>
      <c r="H2" s="252"/>
      <c r="I2" s="252"/>
    </row>
    <row r="3" spans="1:9" ht="24.75" customHeight="1">
      <c r="A3" s="252" t="s">
        <v>17</v>
      </c>
      <c r="B3" s="252"/>
      <c r="C3" s="252"/>
      <c r="D3" s="252"/>
      <c r="E3" s="252"/>
      <c r="F3" s="252"/>
      <c r="G3" s="252"/>
      <c r="H3" s="252"/>
      <c r="I3" s="252"/>
    </row>
    <row r="4" spans="1:8" ht="14.25">
      <c r="A4" s="78" t="s">
        <v>46</v>
      </c>
      <c r="H4" s="147"/>
    </row>
    <row r="5" spans="1:9" s="150" customFormat="1" ht="63" customHeight="1">
      <c r="A5" s="253" t="s">
        <v>109</v>
      </c>
      <c r="B5" s="254"/>
      <c r="C5" s="179" t="s">
        <v>22</v>
      </c>
      <c r="D5" s="179" t="s">
        <v>6</v>
      </c>
      <c r="E5" s="185" t="s">
        <v>119</v>
      </c>
      <c r="F5" s="179" t="s">
        <v>38</v>
      </c>
      <c r="G5" s="179" t="s">
        <v>39</v>
      </c>
      <c r="H5" s="179" t="s">
        <v>115</v>
      </c>
      <c r="I5" s="148" t="s">
        <v>40</v>
      </c>
    </row>
    <row r="6" spans="1:9" s="150" customFormat="1" ht="21" customHeight="1">
      <c r="A6" s="188"/>
      <c r="B6" s="186"/>
      <c r="C6" s="178" t="s">
        <v>118</v>
      </c>
      <c r="D6" s="178" t="s">
        <v>118</v>
      </c>
      <c r="E6" s="190" t="s">
        <v>1</v>
      </c>
      <c r="F6" s="178" t="s">
        <v>118</v>
      </c>
      <c r="G6" s="178" t="s">
        <v>118</v>
      </c>
      <c r="H6" s="178" t="s">
        <v>118</v>
      </c>
      <c r="I6" s="179"/>
    </row>
    <row r="7" spans="1:9" s="150" customFormat="1" ht="19.5" customHeight="1">
      <c r="A7" s="188"/>
      <c r="B7" s="186"/>
      <c r="C7" s="178" t="s">
        <v>110</v>
      </c>
      <c r="D7" s="178" t="s">
        <v>111</v>
      </c>
      <c r="E7" s="178" t="s">
        <v>112</v>
      </c>
      <c r="F7" s="178" t="s">
        <v>113</v>
      </c>
      <c r="G7" s="178" t="s">
        <v>114</v>
      </c>
      <c r="H7" s="178" t="s">
        <v>116</v>
      </c>
      <c r="I7" s="179"/>
    </row>
    <row r="8" spans="1:9" s="150" customFormat="1" ht="14.25" customHeight="1">
      <c r="A8" s="189"/>
      <c r="B8" s="187"/>
      <c r="C8" s="183"/>
      <c r="D8" s="183"/>
      <c r="E8" s="184"/>
      <c r="F8" s="183"/>
      <c r="G8" s="183"/>
      <c r="H8" s="183" t="s">
        <v>117</v>
      </c>
      <c r="I8" s="179"/>
    </row>
    <row r="9" spans="1:11" ht="24.75" customHeight="1">
      <c r="A9" s="151">
        <v>1</v>
      </c>
      <c r="B9" s="180" t="s">
        <v>47</v>
      </c>
      <c r="C9" s="181">
        <v>1263</v>
      </c>
      <c r="D9" s="181">
        <v>630.0799999999999</v>
      </c>
      <c r="E9" s="182">
        <f>D9/C9*100</f>
        <v>49.88756927949326</v>
      </c>
      <c r="F9" s="181">
        <v>158.06</v>
      </c>
      <c r="G9" s="181">
        <v>424.16999999999996</v>
      </c>
      <c r="H9" s="181">
        <f>+G9+F9</f>
        <v>582.23</v>
      </c>
      <c r="I9" s="152"/>
      <c r="K9" s="154">
        <f aca="true" t="shared" si="0" ref="K9:K28">+C9-D9-F9-G9</f>
        <v>50.69000000000011</v>
      </c>
    </row>
    <row r="10" spans="1:16" ht="24.75" customHeight="1">
      <c r="A10" s="155">
        <v>2</v>
      </c>
      <c r="B10" s="22" t="s">
        <v>69</v>
      </c>
      <c r="C10" s="39">
        <v>787</v>
      </c>
      <c r="D10" s="39">
        <v>303.01</v>
      </c>
      <c r="E10" s="167">
        <f aca="true" t="shared" si="1" ref="E10:E27">D10/C10*100</f>
        <v>38.50190597204574</v>
      </c>
      <c r="F10" s="39">
        <v>142.95</v>
      </c>
      <c r="G10" s="39">
        <v>341.03999999999996</v>
      </c>
      <c r="H10" s="39">
        <f>+G10+F10</f>
        <v>483.98999999999995</v>
      </c>
      <c r="I10" s="22"/>
      <c r="K10" s="154">
        <f t="shared" si="0"/>
        <v>0</v>
      </c>
      <c r="P10" s="154">
        <f>D10+F10</f>
        <v>445.96</v>
      </c>
    </row>
    <row r="11" spans="1:16" ht="24.75" customHeight="1">
      <c r="A11" s="155">
        <v>3</v>
      </c>
      <c r="B11" s="156" t="s">
        <v>49</v>
      </c>
      <c r="C11" s="39">
        <v>2621</v>
      </c>
      <c r="D11" s="39">
        <v>817</v>
      </c>
      <c r="E11" s="167">
        <f t="shared" si="1"/>
        <v>31.171308660816482</v>
      </c>
      <c r="F11" s="39">
        <v>247</v>
      </c>
      <c r="G11" s="39">
        <v>1357</v>
      </c>
      <c r="H11" s="39">
        <f aca="true" t="shared" si="2" ref="H11:H27">+G11+F11</f>
        <v>1604</v>
      </c>
      <c r="I11" s="156"/>
      <c r="K11" s="154">
        <f t="shared" si="0"/>
        <v>200</v>
      </c>
      <c r="P11" s="146">
        <f>P10/C10</f>
        <v>0.5666581956797967</v>
      </c>
    </row>
    <row r="12" spans="1:16" ht="24.75" customHeight="1">
      <c r="A12" s="155">
        <v>4</v>
      </c>
      <c r="B12" s="156" t="s">
        <v>50</v>
      </c>
      <c r="C12" s="39">
        <v>1251</v>
      </c>
      <c r="D12" s="39">
        <v>302.44</v>
      </c>
      <c r="E12" s="167">
        <f t="shared" si="1"/>
        <v>24.17585931254996</v>
      </c>
      <c r="F12" s="39">
        <v>200.59</v>
      </c>
      <c r="G12" s="39">
        <v>352.03999999999996</v>
      </c>
      <c r="H12" s="39">
        <f t="shared" si="2"/>
        <v>552.63</v>
      </c>
      <c r="I12" s="156"/>
      <c r="K12" s="154">
        <f t="shared" si="0"/>
        <v>395.92999999999995</v>
      </c>
      <c r="P12" s="146">
        <f>P11*100</f>
        <v>56.66581956797967</v>
      </c>
    </row>
    <row r="13" spans="1:11" s="157" customFormat="1" ht="24.75" customHeight="1">
      <c r="A13" s="155">
        <v>5</v>
      </c>
      <c r="B13" s="156" t="s">
        <v>51</v>
      </c>
      <c r="C13" s="39">
        <v>1545</v>
      </c>
      <c r="D13" s="39">
        <v>816.03</v>
      </c>
      <c r="E13" s="167">
        <f t="shared" si="1"/>
        <v>52.81747572815534</v>
      </c>
      <c r="F13" s="39">
        <v>313</v>
      </c>
      <c r="G13" s="39">
        <v>310.41999999999996</v>
      </c>
      <c r="H13" s="39">
        <f t="shared" si="2"/>
        <v>623.42</v>
      </c>
      <c r="I13" s="156"/>
      <c r="K13" s="154">
        <f t="shared" si="0"/>
        <v>105.55000000000007</v>
      </c>
    </row>
    <row r="14" spans="1:16" ht="24.75" customHeight="1">
      <c r="A14" s="155">
        <v>6</v>
      </c>
      <c r="B14" s="158" t="s">
        <v>70</v>
      </c>
      <c r="C14" s="39">
        <v>2417</v>
      </c>
      <c r="D14" s="39">
        <v>851.2</v>
      </c>
      <c r="E14" s="167">
        <f t="shared" si="1"/>
        <v>35.217211419114605</v>
      </c>
      <c r="F14" s="39">
        <v>107.1</v>
      </c>
      <c r="G14" s="39">
        <v>1450.1999999999998</v>
      </c>
      <c r="H14" s="39">
        <f t="shared" si="2"/>
        <v>1557.2999999999997</v>
      </c>
      <c r="I14" s="158"/>
      <c r="K14" s="154">
        <f t="shared" si="0"/>
        <v>8.500000000000227</v>
      </c>
      <c r="P14" s="157"/>
    </row>
    <row r="15" spans="1:16" ht="24.75" customHeight="1">
      <c r="A15" s="155">
        <v>7</v>
      </c>
      <c r="B15" s="156" t="s">
        <v>53</v>
      </c>
      <c r="C15" s="39">
        <v>1409</v>
      </c>
      <c r="D15" s="39">
        <v>593.36</v>
      </c>
      <c r="E15" s="167">
        <f t="shared" si="1"/>
        <v>42.11213626685593</v>
      </c>
      <c r="F15" s="39">
        <v>796.71</v>
      </c>
      <c r="G15" s="39">
        <v>20</v>
      </c>
      <c r="H15" s="39">
        <f t="shared" si="2"/>
        <v>816.71</v>
      </c>
      <c r="I15" s="156"/>
      <c r="K15" s="154">
        <f t="shared" si="0"/>
        <v>-1.07000000000005</v>
      </c>
      <c r="P15" s="157"/>
    </row>
    <row r="16" spans="1:11" ht="24.75" customHeight="1">
      <c r="A16" s="155">
        <v>8</v>
      </c>
      <c r="B16" s="156" t="s">
        <v>54</v>
      </c>
      <c r="C16" s="39">
        <v>753</v>
      </c>
      <c r="D16" s="39">
        <v>436.3</v>
      </c>
      <c r="E16" s="167">
        <f t="shared" si="1"/>
        <v>57.94156706507304</v>
      </c>
      <c r="F16" s="39">
        <v>34</v>
      </c>
      <c r="G16" s="39">
        <v>51.2</v>
      </c>
      <c r="H16" s="39">
        <f t="shared" si="2"/>
        <v>85.2</v>
      </c>
      <c r="I16" s="156"/>
      <c r="K16" s="154">
        <f t="shared" si="0"/>
        <v>231.5</v>
      </c>
    </row>
    <row r="17" spans="1:11" s="157" customFormat="1" ht="24.75" customHeight="1">
      <c r="A17" s="155">
        <v>9</v>
      </c>
      <c r="B17" s="156" t="s">
        <v>55</v>
      </c>
      <c r="C17" s="39">
        <v>1147</v>
      </c>
      <c r="D17" s="39">
        <v>387.98</v>
      </c>
      <c r="E17" s="167">
        <f t="shared" si="1"/>
        <v>33.8256320836966</v>
      </c>
      <c r="F17" s="39">
        <v>380</v>
      </c>
      <c r="G17" s="39">
        <v>296</v>
      </c>
      <c r="H17" s="39">
        <f t="shared" si="2"/>
        <v>676</v>
      </c>
      <c r="I17" s="156"/>
      <c r="K17" s="154">
        <f t="shared" si="0"/>
        <v>83.01999999999998</v>
      </c>
    </row>
    <row r="18" spans="1:11" ht="24.75" customHeight="1">
      <c r="A18" s="155">
        <v>10</v>
      </c>
      <c r="B18" s="156" t="s">
        <v>56</v>
      </c>
      <c r="C18" s="39">
        <v>870</v>
      </c>
      <c r="D18" s="39">
        <v>106.25999999999999</v>
      </c>
      <c r="E18" s="167">
        <f t="shared" si="1"/>
        <v>12.213793103448275</v>
      </c>
      <c r="F18" s="39">
        <v>266.91</v>
      </c>
      <c r="G18" s="39">
        <v>205.99</v>
      </c>
      <c r="H18" s="39">
        <f t="shared" si="2"/>
        <v>472.90000000000003</v>
      </c>
      <c r="I18" s="156"/>
      <c r="K18" s="154">
        <f t="shared" si="0"/>
        <v>290.84</v>
      </c>
    </row>
    <row r="19" spans="1:11" s="157" customFormat="1" ht="24.75" customHeight="1">
      <c r="A19" s="155">
        <v>11</v>
      </c>
      <c r="B19" s="156" t="s">
        <v>57</v>
      </c>
      <c r="C19" s="39">
        <v>702</v>
      </c>
      <c r="D19" s="39">
        <v>165.51</v>
      </c>
      <c r="E19" s="167">
        <f t="shared" si="1"/>
        <v>23.576923076923077</v>
      </c>
      <c r="F19" s="39">
        <v>348.8</v>
      </c>
      <c r="G19" s="39">
        <v>187.69</v>
      </c>
      <c r="H19" s="39">
        <f t="shared" si="2"/>
        <v>536.49</v>
      </c>
      <c r="I19" s="156"/>
      <c r="K19" s="154">
        <f t="shared" si="0"/>
        <v>0</v>
      </c>
    </row>
    <row r="20" spans="1:11" ht="24.75" customHeight="1">
      <c r="A20" s="155">
        <v>12</v>
      </c>
      <c r="B20" s="156" t="s">
        <v>58</v>
      </c>
      <c r="C20" s="39">
        <v>1216</v>
      </c>
      <c r="D20" s="39">
        <v>404.68</v>
      </c>
      <c r="E20" s="167">
        <f t="shared" si="1"/>
        <v>33.2796052631579</v>
      </c>
      <c r="F20" s="39">
        <v>180.1</v>
      </c>
      <c r="G20" s="39">
        <v>419.33</v>
      </c>
      <c r="H20" s="39">
        <f t="shared" si="2"/>
        <v>599.43</v>
      </c>
      <c r="I20" s="156"/>
      <c r="K20" s="154">
        <f t="shared" si="0"/>
        <v>211.88999999999993</v>
      </c>
    </row>
    <row r="21" spans="1:11" ht="24.75" customHeight="1">
      <c r="A21" s="155">
        <v>13</v>
      </c>
      <c r="B21" s="156" t="s">
        <v>59</v>
      </c>
      <c r="C21" s="39">
        <v>421</v>
      </c>
      <c r="D21" s="39">
        <v>182.63</v>
      </c>
      <c r="E21" s="167">
        <f t="shared" si="1"/>
        <v>43.38004750593824</v>
      </c>
      <c r="F21" s="39">
        <v>112</v>
      </c>
      <c r="G21" s="39">
        <v>125.97</v>
      </c>
      <c r="H21" s="39">
        <f t="shared" si="2"/>
        <v>237.97</v>
      </c>
      <c r="I21" s="156"/>
      <c r="K21" s="154">
        <f t="shared" si="0"/>
        <v>0.4000000000000057</v>
      </c>
    </row>
    <row r="22" spans="1:11" ht="24.75" customHeight="1">
      <c r="A22" s="155">
        <v>14</v>
      </c>
      <c r="B22" s="156" t="s">
        <v>60</v>
      </c>
      <c r="C22" s="39">
        <v>825</v>
      </c>
      <c r="D22" s="39">
        <v>160.57999999999998</v>
      </c>
      <c r="E22" s="167">
        <f t="shared" si="1"/>
        <v>19.46424242424242</v>
      </c>
      <c r="F22" s="39">
        <v>134.796</v>
      </c>
      <c r="G22" s="39">
        <v>186.05599999999998</v>
      </c>
      <c r="H22" s="39">
        <f t="shared" si="2"/>
        <v>320.852</v>
      </c>
      <c r="I22" s="156"/>
      <c r="K22" s="154">
        <f t="shared" si="0"/>
        <v>343.56800000000004</v>
      </c>
    </row>
    <row r="23" spans="1:13" ht="24.75" customHeight="1">
      <c r="A23" s="155">
        <v>15</v>
      </c>
      <c r="B23" s="156" t="s">
        <v>61</v>
      </c>
      <c r="C23" s="39">
        <v>515</v>
      </c>
      <c r="D23" s="39">
        <v>318.38</v>
      </c>
      <c r="E23" s="167">
        <f t="shared" si="1"/>
        <v>61.821359223300966</v>
      </c>
      <c r="F23" s="39">
        <v>97.35</v>
      </c>
      <c r="G23" s="39">
        <v>99.27000000000001</v>
      </c>
      <c r="H23" s="39">
        <f t="shared" si="2"/>
        <v>196.62</v>
      </c>
      <c r="I23" s="156"/>
      <c r="K23" s="154">
        <f t="shared" si="0"/>
        <v>0</v>
      </c>
      <c r="M23" s="159"/>
    </row>
    <row r="24" spans="1:11" ht="24.75" customHeight="1">
      <c r="A24" s="155">
        <v>16</v>
      </c>
      <c r="B24" s="156" t="s">
        <v>62</v>
      </c>
      <c r="C24" s="39">
        <v>435</v>
      </c>
      <c r="D24" s="39">
        <v>74</v>
      </c>
      <c r="E24" s="167">
        <f t="shared" si="1"/>
        <v>17.011494252873565</v>
      </c>
      <c r="F24" s="39">
        <v>168</v>
      </c>
      <c r="G24" s="39">
        <v>145.6</v>
      </c>
      <c r="H24" s="39">
        <f t="shared" si="2"/>
        <v>313.6</v>
      </c>
      <c r="I24" s="156"/>
      <c r="K24" s="154">
        <f t="shared" si="0"/>
        <v>47.400000000000006</v>
      </c>
    </row>
    <row r="25" spans="1:11" ht="24.75" customHeight="1">
      <c r="A25" s="155">
        <v>17</v>
      </c>
      <c r="B25" s="156" t="s">
        <v>63</v>
      </c>
      <c r="C25" s="39">
        <v>510</v>
      </c>
      <c r="D25" s="39">
        <v>1.84</v>
      </c>
      <c r="E25" s="167">
        <f t="shared" si="1"/>
        <v>0.36078431372549025</v>
      </c>
      <c r="F25" s="39">
        <v>3.62</v>
      </c>
      <c r="G25" s="39">
        <v>4.54</v>
      </c>
      <c r="H25" s="39">
        <f t="shared" si="2"/>
        <v>8.16</v>
      </c>
      <c r="I25" s="156"/>
      <c r="K25" s="154">
        <f t="shared" si="0"/>
        <v>500</v>
      </c>
    </row>
    <row r="26" spans="1:11" ht="24.75" customHeight="1">
      <c r="A26" s="155">
        <v>18</v>
      </c>
      <c r="B26" s="156" t="s">
        <v>64</v>
      </c>
      <c r="C26" s="39">
        <v>157</v>
      </c>
      <c r="D26" s="39">
        <v>34.7</v>
      </c>
      <c r="E26" s="167">
        <f t="shared" si="1"/>
        <v>22.101910828025478</v>
      </c>
      <c r="F26" s="39">
        <v>0</v>
      </c>
      <c r="G26" s="39">
        <v>122.3</v>
      </c>
      <c r="H26" s="39">
        <f t="shared" si="2"/>
        <v>122.3</v>
      </c>
      <c r="I26" s="156"/>
      <c r="K26" s="154">
        <f t="shared" si="0"/>
        <v>0</v>
      </c>
    </row>
    <row r="27" spans="1:11" ht="24.75" customHeight="1">
      <c r="A27" s="160">
        <v>19</v>
      </c>
      <c r="B27" s="161" t="s">
        <v>65</v>
      </c>
      <c r="C27" s="162">
        <v>164</v>
      </c>
      <c r="D27" s="162">
        <v>43.66</v>
      </c>
      <c r="E27" s="167">
        <f t="shared" si="1"/>
        <v>26.62195121951219</v>
      </c>
      <c r="F27" s="162">
        <v>90.38</v>
      </c>
      <c r="G27" s="162">
        <v>29.5</v>
      </c>
      <c r="H27" s="39">
        <f t="shared" si="2"/>
        <v>119.88</v>
      </c>
      <c r="I27" s="161"/>
      <c r="K27" s="154">
        <f t="shared" si="0"/>
        <v>0.46000000000000796</v>
      </c>
    </row>
    <row r="28" spans="1:11" s="157" customFormat="1" ht="24.75" customHeight="1">
      <c r="A28" s="255" t="s">
        <v>5</v>
      </c>
      <c r="B28" s="256"/>
      <c r="C28" s="172">
        <f>SUM(C9:C27)</f>
        <v>19008</v>
      </c>
      <c r="D28" s="172">
        <f>SUM(D9:D27)</f>
        <v>6629.64</v>
      </c>
      <c r="E28" s="164">
        <f>D28/C28*100</f>
        <v>34.87815656565657</v>
      </c>
      <c r="F28" s="172">
        <f>SUM(F9:F27)</f>
        <v>3781.3659999999995</v>
      </c>
      <c r="G28" s="172">
        <f>SUM(G9:G27)</f>
        <v>6128.316</v>
      </c>
      <c r="H28" s="172">
        <f>SUM(H9:H27)</f>
        <v>9909.681999999999</v>
      </c>
      <c r="I28" s="166"/>
      <c r="K28" s="154">
        <f t="shared" si="0"/>
        <v>2468.678000000001</v>
      </c>
    </row>
  </sheetData>
  <sheetProtection/>
  <mergeCells count="4">
    <mergeCell ref="A2:I2"/>
    <mergeCell ref="A3:I3"/>
    <mergeCell ref="A28:B28"/>
    <mergeCell ref="A5:B5"/>
  </mergeCells>
  <printOptions/>
  <pageMargins left="0.62" right="0.18" top="0.66" bottom="0.75" header="0.3" footer="0.3"/>
  <pageSetup orientation="portrait" paperSize="9" scale="95" r:id="rId2"/>
  <headerFooter>
    <oddFooter>&amp;L&amp;8&amp;F&amp;A&amp;R&amp;8&amp;D&amp;T</oddFooter>
  </headerFooter>
  <drawing r:id="rId1"/>
</worksheet>
</file>

<file path=xl/worksheets/sheet8.xml><?xml version="1.0" encoding="utf-8"?>
<worksheet xmlns="http://schemas.openxmlformats.org/spreadsheetml/2006/main" xmlns:r="http://schemas.openxmlformats.org/officeDocument/2006/relationships">
  <dimension ref="A1:R25"/>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4.7109375" style="141" customWidth="1"/>
    <col min="2" max="2" width="10.00390625" style="142" customWidth="1"/>
    <col min="3" max="3" width="6.7109375" style="142" hidden="1" customWidth="1"/>
    <col min="4" max="4" width="11.140625" style="173" customWidth="1"/>
    <col min="5" max="5" width="11.421875" style="173" customWidth="1"/>
    <col min="6" max="6" width="10.140625" style="144" customWidth="1"/>
    <col min="7" max="7" width="11.8515625" style="177" customWidth="1"/>
    <col min="8" max="8" width="10.140625" style="141" customWidth="1"/>
    <col min="9" max="9" width="11.57421875" style="177" customWidth="1"/>
    <col min="10" max="10" width="10.28125" style="141" customWidth="1"/>
    <col min="11" max="11" width="0.71875" style="146" hidden="1" customWidth="1"/>
    <col min="12" max="12" width="1.57421875" style="146" hidden="1" customWidth="1"/>
    <col min="13" max="13" width="7.57421875" style="146" hidden="1" customWidth="1"/>
    <col min="14" max="16384" width="9.140625" style="146" customWidth="1"/>
  </cols>
  <sheetData>
    <row r="1" ht="12.75">
      <c r="J1" s="145" t="s">
        <v>18</v>
      </c>
    </row>
    <row r="2" spans="1:11" ht="24.75" customHeight="1">
      <c r="A2" s="252" t="s">
        <v>16</v>
      </c>
      <c r="B2" s="252"/>
      <c r="C2" s="252"/>
      <c r="D2" s="252"/>
      <c r="E2" s="252"/>
      <c r="F2" s="252"/>
      <c r="G2" s="252"/>
      <c r="H2" s="252"/>
      <c r="I2" s="252"/>
      <c r="J2" s="252"/>
      <c r="K2" s="252"/>
    </row>
    <row r="3" spans="1:11" ht="24.75" customHeight="1">
      <c r="A3" s="252" t="s">
        <v>17</v>
      </c>
      <c r="B3" s="252"/>
      <c r="C3" s="252"/>
      <c r="D3" s="252"/>
      <c r="E3" s="252"/>
      <c r="F3" s="252"/>
      <c r="G3" s="252"/>
      <c r="H3" s="252"/>
      <c r="I3" s="252"/>
      <c r="J3" s="252"/>
      <c r="K3" s="252"/>
    </row>
    <row r="4" spans="1:10" ht="14.25">
      <c r="A4" s="78" t="s">
        <v>46</v>
      </c>
      <c r="J4" s="147" t="s">
        <v>7</v>
      </c>
    </row>
    <row r="5" spans="1:11" s="150" customFormat="1" ht="75" customHeight="1">
      <c r="A5" s="148"/>
      <c r="B5" s="148" t="s">
        <v>109</v>
      </c>
      <c r="C5" s="148" t="s">
        <v>9</v>
      </c>
      <c r="D5" s="174" t="s">
        <v>22</v>
      </c>
      <c r="E5" s="175" t="s">
        <v>6</v>
      </c>
      <c r="F5" s="149" t="s">
        <v>107</v>
      </c>
      <c r="G5" s="175" t="s">
        <v>38</v>
      </c>
      <c r="H5" s="148" t="s">
        <v>105</v>
      </c>
      <c r="I5" s="175" t="s">
        <v>39</v>
      </c>
      <c r="J5" s="148" t="s">
        <v>106</v>
      </c>
      <c r="K5" s="148" t="s">
        <v>40</v>
      </c>
    </row>
    <row r="6" spans="1:13" ht="24.75" customHeight="1">
      <c r="A6" s="151">
        <v>1</v>
      </c>
      <c r="B6" s="152" t="s">
        <v>47</v>
      </c>
      <c r="C6" s="152"/>
      <c r="D6" s="153">
        <f>+'Summary 2A'!D6+Summary3!D6</f>
        <v>1263</v>
      </c>
      <c r="E6" s="153">
        <v>630.08</v>
      </c>
      <c r="F6" s="167">
        <f>E6/D6*100</f>
        <v>49.88756927949327</v>
      </c>
      <c r="G6" s="153">
        <v>199.06</v>
      </c>
      <c r="H6" s="168">
        <f>(E6+G6)/D6*100</f>
        <v>65.64845605700714</v>
      </c>
      <c r="I6" s="153">
        <v>755.96</v>
      </c>
      <c r="J6" s="170">
        <f>(E6+G6+I6)/D6*100</f>
        <v>125.50277117973081</v>
      </c>
      <c r="K6" s="152"/>
      <c r="M6" s="154">
        <f>+D6-E6-G6-I6</f>
        <v>-322.1000000000001</v>
      </c>
    </row>
    <row r="7" spans="1:18" ht="24.75" customHeight="1">
      <c r="A7" s="155">
        <v>2</v>
      </c>
      <c r="B7" s="22" t="s">
        <v>69</v>
      </c>
      <c r="C7" s="22"/>
      <c r="D7" s="39">
        <f>+'Summary 2A'!D7+Summary3!D7</f>
        <v>787</v>
      </c>
      <c r="E7" s="39">
        <v>303.01</v>
      </c>
      <c r="F7" s="167">
        <f aca="true" t="shared" si="0" ref="F7:F24">E7/D7*100</f>
        <v>38.50190597204574</v>
      </c>
      <c r="G7" s="39">
        <v>142.95</v>
      </c>
      <c r="H7" s="169">
        <f>(E7+G7)/D7*100</f>
        <v>56.66581956797967</v>
      </c>
      <c r="I7" s="39">
        <v>341.04</v>
      </c>
      <c r="J7" s="169">
        <f>(E7+G7+I7)/D7*100</f>
        <v>100</v>
      </c>
      <c r="K7" s="22"/>
      <c r="M7" s="154">
        <f>+D7-E7-G7-I7</f>
        <v>0</v>
      </c>
      <c r="R7" s="154">
        <f>E7+G7</f>
        <v>445.96</v>
      </c>
    </row>
    <row r="8" spans="1:18" ht="24.75" customHeight="1">
      <c r="A8" s="155">
        <v>3</v>
      </c>
      <c r="B8" s="156" t="s">
        <v>49</v>
      </c>
      <c r="C8" s="156"/>
      <c r="D8" s="39">
        <f>+'Summary 2A'!D8+Summary3!D8</f>
        <v>2621</v>
      </c>
      <c r="E8" s="39">
        <v>817</v>
      </c>
      <c r="F8" s="167">
        <f t="shared" si="0"/>
        <v>31.171308660816482</v>
      </c>
      <c r="G8" s="39">
        <v>247</v>
      </c>
      <c r="H8" s="169">
        <f aca="true" t="shared" si="1" ref="H8:H24">(E8+G8)/D8*100</f>
        <v>40.5951926745517</v>
      </c>
      <c r="I8" s="39">
        <v>1358</v>
      </c>
      <c r="J8" s="169">
        <f aca="true" t="shared" si="2" ref="J8:J24">(E8+G8+I8)/D8*100</f>
        <v>92.40747806180846</v>
      </c>
      <c r="K8" s="156"/>
      <c r="M8" s="154">
        <f>+D8-E8-G8-I8</f>
        <v>199</v>
      </c>
      <c r="R8" s="146">
        <f>R7/D7</f>
        <v>0.5666581956797967</v>
      </c>
    </row>
    <row r="9" spans="1:18" ht="24.75" customHeight="1">
      <c r="A9" s="155">
        <v>4</v>
      </c>
      <c r="B9" s="156" t="s">
        <v>50</v>
      </c>
      <c r="C9" s="156"/>
      <c r="D9" s="39">
        <f>+'Summary 2A'!D9+Summary3!D9</f>
        <v>1251</v>
      </c>
      <c r="E9" s="39">
        <v>302.44</v>
      </c>
      <c r="F9" s="167">
        <f t="shared" si="0"/>
        <v>24.17585931254996</v>
      </c>
      <c r="G9" s="39">
        <v>200.59</v>
      </c>
      <c r="H9" s="169">
        <f t="shared" si="1"/>
        <v>40.21023181454836</v>
      </c>
      <c r="I9" s="39">
        <v>352.04</v>
      </c>
      <c r="J9" s="169">
        <f t="shared" si="2"/>
        <v>68.35091926458833</v>
      </c>
      <c r="K9" s="156"/>
      <c r="M9" s="154">
        <f aca="true" t="shared" si="3" ref="M9:M25">+D9-E9-G9-I9</f>
        <v>395.9299999999999</v>
      </c>
      <c r="R9" s="146">
        <f>R8*100</f>
        <v>56.66581956797967</v>
      </c>
    </row>
    <row r="10" spans="1:13" s="157" customFormat="1" ht="24.75" customHeight="1">
      <c r="A10" s="155">
        <v>5</v>
      </c>
      <c r="B10" s="156" t="s">
        <v>51</v>
      </c>
      <c r="C10" s="156"/>
      <c r="D10" s="39">
        <f>+'Summary 2A'!D10+Summary3!D10</f>
        <v>1545</v>
      </c>
      <c r="E10" s="39">
        <v>816.03</v>
      </c>
      <c r="F10" s="167">
        <f t="shared" si="0"/>
        <v>52.81747572815534</v>
      </c>
      <c r="G10" s="39">
        <v>313</v>
      </c>
      <c r="H10" s="169">
        <f t="shared" si="1"/>
        <v>73.07637540453075</v>
      </c>
      <c r="I10" s="39">
        <v>310.42</v>
      </c>
      <c r="J10" s="169">
        <f t="shared" si="2"/>
        <v>93.16828478964402</v>
      </c>
      <c r="K10" s="156"/>
      <c r="M10" s="154">
        <f t="shared" si="3"/>
        <v>105.55000000000001</v>
      </c>
    </row>
    <row r="11" spans="1:18" ht="24.75" customHeight="1">
      <c r="A11" s="155">
        <v>6</v>
      </c>
      <c r="B11" s="158" t="s">
        <v>70</v>
      </c>
      <c r="C11" s="158"/>
      <c r="D11" s="39">
        <f>+'Summary 2A'!D11+Summary3!D11</f>
        <v>2417</v>
      </c>
      <c r="E11" s="39">
        <v>851.2</v>
      </c>
      <c r="F11" s="167">
        <f t="shared" si="0"/>
        <v>35.217211419114605</v>
      </c>
      <c r="G11" s="39">
        <v>107.1</v>
      </c>
      <c r="H11" s="169">
        <f t="shared" si="1"/>
        <v>39.648324369052546</v>
      </c>
      <c r="I11" s="39">
        <v>1563.55</v>
      </c>
      <c r="J11" s="169">
        <f t="shared" si="2"/>
        <v>104.33802234174595</v>
      </c>
      <c r="K11" s="158"/>
      <c r="M11" s="154">
        <f t="shared" si="3"/>
        <v>-104.84999999999991</v>
      </c>
      <c r="R11" s="157"/>
    </row>
    <row r="12" spans="1:18" ht="24.75" customHeight="1">
      <c r="A12" s="155">
        <v>7</v>
      </c>
      <c r="B12" s="156" t="s">
        <v>53</v>
      </c>
      <c r="C12" s="156"/>
      <c r="D12" s="39">
        <f>+'Summary 2A'!D12+Summary3!D12</f>
        <v>1409</v>
      </c>
      <c r="E12" s="39">
        <v>593.36</v>
      </c>
      <c r="F12" s="167">
        <f t="shared" si="0"/>
        <v>42.11213626685593</v>
      </c>
      <c r="G12" s="39">
        <v>796.71</v>
      </c>
      <c r="H12" s="169">
        <f t="shared" si="1"/>
        <v>98.65649396735274</v>
      </c>
      <c r="I12" s="39">
        <v>713.37</v>
      </c>
      <c r="J12" s="169">
        <f>(E12+G12+I12)/D12*100</f>
        <v>149.2860184528034</v>
      </c>
      <c r="K12" s="156"/>
      <c r="M12" s="154">
        <f t="shared" si="3"/>
        <v>-694.44</v>
      </c>
      <c r="R12" s="157"/>
    </row>
    <row r="13" spans="1:13" ht="24.75" customHeight="1">
      <c r="A13" s="155">
        <v>8</v>
      </c>
      <c r="B13" s="156" t="s">
        <v>54</v>
      </c>
      <c r="C13" s="156"/>
      <c r="D13" s="39">
        <f>+'Summary 2A'!D13+Summary3!D13</f>
        <v>753</v>
      </c>
      <c r="E13" s="39">
        <v>436.3</v>
      </c>
      <c r="F13" s="167">
        <f t="shared" si="0"/>
        <v>57.94156706507304</v>
      </c>
      <c r="G13" s="39">
        <v>34</v>
      </c>
      <c r="H13" s="169">
        <f t="shared" si="1"/>
        <v>62.45683930942896</v>
      </c>
      <c r="I13" s="39">
        <v>51.2</v>
      </c>
      <c r="J13" s="169">
        <f t="shared" si="2"/>
        <v>69.25630810092962</v>
      </c>
      <c r="K13" s="156"/>
      <c r="M13" s="154">
        <f t="shared" si="3"/>
        <v>231.5</v>
      </c>
    </row>
    <row r="14" spans="1:13" s="157" customFormat="1" ht="24.75" customHeight="1">
      <c r="A14" s="155">
        <v>9</v>
      </c>
      <c r="B14" s="156" t="s">
        <v>55</v>
      </c>
      <c r="C14" s="156"/>
      <c r="D14" s="39">
        <f>+'Summary 2A'!D14+Summary3!D14</f>
        <v>1147</v>
      </c>
      <c r="E14" s="39">
        <v>387.97</v>
      </c>
      <c r="F14" s="167">
        <f t="shared" si="0"/>
        <v>33.82476024411509</v>
      </c>
      <c r="G14" s="39">
        <v>380</v>
      </c>
      <c r="H14" s="169">
        <f t="shared" si="1"/>
        <v>66.95466434176112</v>
      </c>
      <c r="I14" s="39">
        <v>522</v>
      </c>
      <c r="J14" s="169">
        <f t="shared" si="2"/>
        <v>112.46469049694856</v>
      </c>
      <c r="K14" s="156"/>
      <c r="M14" s="154">
        <f t="shared" si="3"/>
        <v>-142.97000000000003</v>
      </c>
    </row>
    <row r="15" spans="1:13" ht="24.75" customHeight="1">
      <c r="A15" s="155">
        <v>10</v>
      </c>
      <c r="B15" s="156" t="s">
        <v>56</v>
      </c>
      <c r="C15" s="156"/>
      <c r="D15" s="39">
        <f>+'Summary 2A'!D15+Summary3!D15</f>
        <v>870</v>
      </c>
      <c r="E15" s="39">
        <v>106.26</v>
      </c>
      <c r="F15" s="167">
        <f t="shared" si="0"/>
        <v>12.213793103448277</v>
      </c>
      <c r="G15" s="39">
        <v>266.91</v>
      </c>
      <c r="H15" s="169">
        <f t="shared" si="1"/>
        <v>42.893103448275866</v>
      </c>
      <c r="I15" s="39">
        <v>472.9</v>
      </c>
      <c r="J15" s="169">
        <f t="shared" si="2"/>
        <v>97.24942528735632</v>
      </c>
      <c r="K15" s="156"/>
      <c r="M15" s="154">
        <f t="shared" si="3"/>
        <v>23.930000000000007</v>
      </c>
    </row>
    <row r="16" spans="1:13" s="157" customFormat="1" ht="24.75" customHeight="1">
      <c r="A16" s="155">
        <v>11</v>
      </c>
      <c r="B16" s="156" t="s">
        <v>57</v>
      </c>
      <c r="C16" s="156"/>
      <c r="D16" s="39">
        <f>+'Summary 2A'!D16+Summary3!D16</f>
        <v>702</v>
      </c>
      <c r="E16" s="39">
        <v>165.51</v>
      </c>
      <c r="F16" s="167">
        <f t="shared" si="0"/>
        <v>23.576923076923077</v>
      </c>
      <c r="G16" s="39">
        <v>348.8</v>
      </c>
      <c r="H16" s="169">
        <f t="shared" si="1"/>
        <v>73.26353276353275</v>
      </c>
      <c r="I16" s="39">
        <v>187.69</v>
      </c>
      <c r="J16" s="169">
        <f t="shared" si="2"/>
        <v>100</v>
      </c>
      <c r="K16" s="156"/>
      <c r="M16" s="154">
        <f t="shared" si="3"/>
        <v>0</v>
      </c>
    </row>
    <row r="17" spans="1:13" ht="24.75" customHeight="1">
      <c r="A17" s="155">
        <v>12</v>
      </c>
      <c r="B17" s="156" t="s">
        <v>58</v>
      </c>
      <c r="C17" s="156"/>
      <c r="D17" s="39">
        <f>+'Summary 2A'!D17+Summary3!D17</f>
        <v>1216</v>
      </c>
      <c r="E17" s="39">
        <v>404.68</v>
      </c>
      <c r="F17" s="167">
        <f t="shared" si="0"/>
        <v>33.2796052631579</v>
      </c>
      <c r="G17" s="39">
        <v>180.1</v>
      </c>
      <c r="H17" s="169">
        <f t="shared" si="1"/>
        <v>48.09046052631579</v>
      </c>
      <c r="I17" s="39">
        <v>580.59</v>
      </c>
      <c r="J17" s="169">
        <f t="shared" si="2"/>
        <v>95.83634868421052</v>
      </c>
      <c r="K17" s="156"/>
      <c r="M17" s="154">
        <f t="shared" si="3"/>
        <v>50.62999999999988</v>
      </c>
    </row>
    <row r="18" spans="1:13" ht="24.75" customHeight="1">
      <c r="A18" s="155">
        <v>13</v>
      </c>
      <c r="B18" s="156" t="s">
        <v>59</v>
      </c>
      <c r="C18" s="156"/>
      <c r="D18" s="39">
        <f>+'Summary 2A'!D18+Summary3!D18</f>
        <v>421</v>
      </c>
      <c r="E18" s="39">
        <v>182.63</v>
      </c>
      <c r="F18" s="167">
        <f t="shared" si="0"/>
        <v>43.38004750593824</v>
      </c>
      <c r="G18" s="39">
        <v>112</v>
      </c>
      <c r="H18" s="169">
        <f t="shared" si="1"/>
        <v>69.9833729216152</v>
      </c>
      <c r="I18" s="39">
        <v>125.97</v>
      </c>
      <c r="J18" s="169">
        <f t="shared" si="2"/>
        <v>99.90498812351545</v>
      </c>
      <c r="K18" s="156"/>
      <c r="M18" s="154">
        <f t="shared" si="3"/>
        <v>0.4000000000000057</v>
      </c>
    </row>
    <row r="19" spans="1:13" ht="24.75" customHeight="1">
      <c r="A19" s="155">
        <v>14</v>
      </c>
      <c r="B19" s="156" t="s">
        <v>60</v>
      </c>
      <c r="C19" s="156"/>
      <c r="D19" s="39">
        <f>+'Summary 2A'!D19+Summary3!D19</f>
        <v>825</v>
      </c>
      <c r="E19" s="39">
        <v>160.58</v>
      </c>
      <c r="F19" s="167">
        <f t="shared" si="0"/>
        <v>19.464242424242425</v>
      </c>
      <c r="G19" s="39">
        <v>135</v>
      </c>
      <c r="H19" s="169">
        <f t="shared" si="1"/>
        <v>35.827878787878795</v>
      </c>
      <c r="I19" s="39">
        <v>186</v>
      </c>
      <c r="J19" s="169">
        <f t="shared" si="2"/>
        <v>58.37333333333334</v>
      </c>
      <c r="K19" s="156"/>
      <c r="M19" s="154">
        <f t="shared" si="3"/>
        <v>343.41999999999996</v>
      </c>
    </row>
    <row r="20" spans="1:15" ht="24.75" customHeight="1">
      <c r="A20" s="155">
        <v>15</v>
      </c>
      <c r="B20" s="156" t="s">
        <v>61</v>
      </c>
      <c r="C20" s="156"/>
      <c r="D20" s="39">
        <f>+'Summary 2A'!D20+Summary3!D20</f>
        <v>515</v>
      </c>
      <c r="E20" s="39">
        <v>318.38</v>
      </c>
      <c r="F20" s="167">
        <f t="shared" si="0"/>
        <v>61.821359223300966</v>
      </c>
      <c r="G20" s="39">
        <v>97.35</v>
      </c>
      <c r="H20" s="169">
        <f t="shared" si="1"/>
        <v>80.7242718446602</v>
      </c>
      <c r="I20" s="39">
        <v>99.27</v>
      </c>
      <c r="J20" s="169">
        <f t="shared" si="2"/>
        <v>100</v>
      </c>
      <c r="K20" s="156"/>
      <c r="M20" s="154">
        <f t="shared" si="3"/>
        <v>0</v>
      </c>
      <c r="O20" s="159"/>
    </row>
    <row r="21" spans="1:13" ht="24.75" customHeight="1">
      <c r="A21" s="155">
        <v>16</v>
      </c>
      <c r="B21" s="156" t="s">
        <v>62</v>
      </c>
      <c r="C21" s="156"/>
      <c r="D21" s="39">
        <f>+'Summary 2A'!D21+Summary3!D21</f>
        <v>435</v>
      </c>
      <c r="E21" s="39">
        <v>74</v>
      </c>
      <c r="F21" s="167">
        <f t="shared" si="0"/>
        <v>17.011494252873565</v>
      </c>
      <c r="G21" s="39">
        <v>168</v>
      </c>
      <c r="H21" s="169">
        <f t="shared" si="1"/>
        <v>55.632183908045974</v>
      </c>
      <c r="I21" s="39">
        <v>145.6</v>
      </c>
      <c r="J21" s="169">
        <f t="shared" si="2"/>
        <v>89.10344827586208</v>
      </c>
      <c r="K21" s="156"/>
      <c r="M21" s="154">
        <f t="shared" si="3"/>
        <v>47.400000000000006</v>
      </c>
    </row>
    <row r="22" spans="1:13" ht="24.75" customHeight="1">
      <c r="A22" s="155">
        <v>17</v>
      </c>
      <c r="B22" s="156" t="s">
        <v>63</v>
      </c>
      <c r="C22" s="156"/>
      <c r="D22" s="39">
        <f>+'Summary 2A'!D22+Summary3!D22</f>
        <v>510</v>
      </c>
      <c r="E22" s="39">
        <v>1.84</v>
      </c>
      <c r="F22" s="167">
        <f t="shared" si="0"/>
        <v>0.36078431372549025</v>
      </c>
      <c r="G22" s="39">
        <v>3.62</v>
      </c>
      <c r="H22" s="169">
        <f t="shared" si="1"/>
        <v>1.0705882352941176</v>
      </c>
      <c r="I22" s="39">
        <v>4.54</v>
      </c>
      <c r="J22" s="169">
        <f t="shared" si="2"/>
        <v>1.9607843137254901</v>
      </c>
      <c r="K22" s="156"/>
      <c r="M22" s="154">
        <f t="shared" si="3"/>
        <v>500</v>
      </c>
    </row>
    <row r="23" spans="1:13" ht="24.75" customHeight="1">
      <c r="A23" s="155">
        <v>18</v>
      </c>
      <c r="B23" s="156" t="s">
        <v>64</v>
      </c>
      <c r="C23" s="156"/>
      <c r="D23" s="39">
        <f>+'Summary 2A'!D23+Summary3!D23</f>
        <v>157</v>
      </c>
      <c r="E23" s="39">
        <v>34.7</v>
      </c>
      <c r="F23" s="167">
        <f t="shared" si="0"/>
        <v>22.101910828025478</v>
      </c>
      <c r="G23" s="39">
        <v>0</v>
      </c>
      <c r="H23" s="169">
        <f t="shared" si="1"/>
        <v>22.101910828025478</v>
      </c>
      <c r="I23" s="39">
        <v>122.3</v>
      </c>
      <c r="J23" s="169">
        <f t="shared" si="2"/>
        <v>100</v>
      </c>
      <c r="K23" s="156"/>
      <c r="M23" s="154">
        <f t="shared" si="3"/>
        <v>0</v>
      </c>
    </row>
    <row r="24" spans="1:13" ht="24.75" customHeight="1">
      <c r="A24" s="160">
        <v>19</v>
      </c>
      <c r="B24" s="161" t="s">
        <v>65</v>
      </c>
      <c r="C24" s="161"/>
      <c r="D24" s="162">
        <f>+'Summary 2A'!D24+Summary3!D24</f>
        <v>164</v>
      </c>
      <c r="E24" s="162">
        <v>43.66</v>
      </c>
      <c r="F24" s="167">
        <f t="shared" si="0"/>
        <v>26.62195121951219</v>
      </c>
      <c r="G24" s="162">
        <v>146.2</v>
      </c>
      <c r="H24" s="169">
        <f t="shared" si="1"/>
        <v>115.76829268292681</v>
      </c>
      <c r="I24" s="162">
        <v>87.5</v>
      </c>
      <c r="J24" s="171">
        <f t="shared" si="2"/>
        <v>169.1219512195122</v>
      </c>
      <c r="K24" s="161"/>
      <c r="M24" s="154">
        <f t="shared" si="3"/>
        <v>-113.35999999999999</v>
      </c>
    </row>
    <row r="25" spans="1:13" s="157" customFormat="1" ht="24.75" customHeight="1">
      <c r="A25" s="258" t="s">
        <v>5</v>
      </c>
      <c r="B25" s="259"/>
      <c r="C25" s="163"/>
      <c r="D25" s="172">
        <f aca="true" t="shared" si="4" ref="D25:I25">SUM(D6:D24)</f>
        <v>19008</v>
      </c>
      <c r="E25" s="176">
        <f t="shared" si="4"/>
        <v>6629.630000000001</v>
      </c>
      <c r="F25" s="164">
        <f>E25/D25*100</f>
        <v>34.87810395622896</v>
      </c>
      <c r="G25" s="176">
        <f>SUM(G6:G24)</f>
        <v>3878.3899999999994</v>
      </c>
      <c r="H25" s="163">
        <f>(E25+G25)/D25*100</f>
        <v>55.28209175084176</v>
      </c>
      <c r="I25" s="176">
        <f t="shared" si="4"/>
        <v>7979.9400000000005</v>
      </c>
      <c r="J25" s="165">
        <f>(E25+G25+I25)/D25*100</f>
        <v>97.26409932659932</v>
      </c>
      <c r="K25" s="166"/>
      <c r="M25" s="154">
        <f t="shared" si="3"/>
        <v>520.039999999999</v>
      </c>
    </row>
  </sheetData>
  <sheetProtection/>
  <mergeCells count="3">
    <mergeCell ref="A2:K2"/>
    <mergeCell ref="A3:K3"/>
    <mergeCell ref="A25:B25"/>
  </mergeCells>
  <printOptions/>
  <pageMargins left="0.62" right="0.18" top="0.66" bottom="0.75" header="0.3" footer="0.3"/>
  <pageSetup orientation="portrait" paperSize="9" scale="95" r:id="rId1"/>
  <headerFooter>
    <oddFooter>&amp;L&amp;8&amp;F&amp;A&amp;R&amp;8&amp;D&amp;T</oddFooter>
  </headerFooter>
</worksheet>
</file>

<file path=xl/worksheets/sheet9.xml><?xml version="1.0" encoding="utf-8"?>
<worksheet xmlns="http://schemas.openxmlformats.org/spreadsheetml/2006/main" xmlns:r="http://schemas.openxmlformats.org/officeDocument/2006/relationships">
  <sheetPr>
    <tabColor rgb="FF00B050"/>
  </sheetPr>
  <dimension ref="A1:I21"/>
  <sheetViews>
    <sheetView zoomScalePageLayoutView="0" workbookViewId="0" topLeftCell="A1">
      <selection activeCell="C6" sqref="C6:C11"/>
    </sheetView>
  </sheetViews>
  <sheetFormatPr defaultColWidth="9.140625" defaultRowHeight="15"/>
  <cols>
    <col min="1" max="1" width="4.7109375" style="3" customWidth="1"/>
    <col min="2" max="2" width="39.421875" style="1" customWidth="1"/>
    <col min="3" max="3" width="6.7109375" style="1" customWidth="1"/>
    <col min="4" max="4" width="10.57421875" style="16" customWidth="1"/>
    <col min="5" max="5" width="12.8515625" style="16" customWidth="1"/>
    <col min="6" max="6" width="7.57421875" style="36" customWidth="1"/>
    <col min="7" max="7" width="12.57421875" style="3" customWidth="1"/>
    <col min="8" max="8" width="13.00390625" style="3" customWidth="1"/>
    <col min="9" max="9" width="34.8515625" style="4" customWidth="1"/>
    <col min="10" max="16384" width="9.140625" style="4" customWidth="1"/>
  </cols>
  <sheetData>
    <row r="1" ht="15">
      <c r="I1" s="15" t="s">
        <v>18</v>
      </c>
    </row>
    <row r="2" spans="1:9" ht="24.75" customHeight="1">
      <c r="A2" s="260" t="s">
        <v>16</v>
      </c>
      <c r="B2" s="260"/>
      <c r="C2" s="260"/>
      <c r="D2" s="260"/>
      <c r="E2" s="260"/>
      <c r="F2" s="260"/>
      <c r="G2" s="260"/>
      <c r="H2" s="260"/>
      <c r="I2" s="260"/>
    </row>
    <row r="3" spans="1:9" ht="24.75" customHeight="1">
      <c r="A3" s="260" t="s">
        <v>17</v>
      </c>
      <c r="B3" s="260"/>
      <c r="C3" s="260"/>
      <c r="D3" s="260"/>
      <c r="E3" s="260"/>
      <c r="F3" s="260"/>
      <c r="G3" s="260"/>
      <c r="H3" s="260"/>
      <c r="I3" s="260"/>
    </row>
    <row r="4" spans="1:9" ht="15">
      <c r="A4" s="14" t="s">
        <v>21</v>
      </c>
      <c r="I4" s="5" t="s">
        <v>7</v>
      </c>
    </row>
    <row r="5" spans="1:9" s="2" customFormat="1" ht="76.5" customHeight="1">
      <c r="A5" s="10"/>
      <c r="B5" s="11" t="s">
        <v>0</v>
      </c>
      <c r="C5" s="10" t="s">
        <v>9</v>
      </c>
      <c r="D5" s="211" t="s">
        <v>144</v>
      </c>
      <c r="E5" s="17" t="s">
        <v>6</v>
      </c>
      <c r="F5" s="37" t="s">
        <v>1</v>
      </c>
      <c r="G5" s="17" t="s">
        <v>38</v>
      </c>
      <c r="H5" s="10" t="s">
        <v>39</v>
      </c>
      <c r="I5" s="10" t="s">
        <v>40</v>
      </c>
    </row>
    <row r="6" spans="1:9" ht="24.75" customHeight="1">
      <c r="A6" s="7">
        <v>1</v>
      </c>
      <c r="B6" s="8" t="s">
        <v>3</v>
      </c>
      <c r="C6" s="261" t="s">
        <v>10</v>
      </c>
      <c r="D6" s="18">
        <v>674</v>
      </c>
      <c r="E6" s="18">
        <f>342.3+85</f>
        <v>427.3</v>
      </c>
      <c r="F6" s="131">
        <f>+E6/D6</f>
        <v>0.6339762611275964</v>
      </c>
      <c r="G6" s="130"/>
      <c r="H6" s="130">
        <v>246.7</v>
      </c>
      <c r="I6" s="9"/>
    </row>
    <row r="7" spans="1:9" ht="24.75" customHeight="1">
      <c r="A7" s="7">
        <v>2</v>
      </c>
      <c r="B7" s="8" t="s">
        <v>4</v>
      </c>
      <c r="C7" s="262"/>
      <c r="D7" s="18">
        <v>0</v>
      </c>
      <c r="E7" s="18"/>
      <c r="F7" s="131"/>
      <c r="G7" s="130"/>
      <c r="H7" s="130"/>
      <c r="I7" s="9"/>
    </row>
    <row r="8" spans="1:9" ht="24.75" customHeight="1">
      <c r="A8" s="7">
        <v>3</v>
      </c>
      <c r="B8" s="8" t="s">
        <v>13</v>
      </c>
      <c r="C8" s="262"/>
      <c r="D8" s="18">
        <v>0</v>
      </c>
      <c r="E8" s="18"/>
      <c r="F8" s="131"/>
      <c r="G8" s="130"/>
      <c r="H8" s="130"/>
      <c r="I8" s="9"/>
    </row>
    <row r="9" spans="1:9" ht="24.75" customHeight="1">
      <c r="A9" s="7">
        <v>4</v>
      </c>
      <c r="B9" s="8" t="s">
        <v>14</v>
      </c>
      <c r="C9" s="263"/>
      <c r="D9" s="18">
        <v>25</v>
      </c>
      <c r="E9" s="18"/>
      <c r="F9" s="131"/>
      <c r="G9" s="130"/>
      <c r="H9" s="130"/>
      <c r="I9" s="9"/>
    </row>
    <row r="10" spans="1:9" s="6" customFormat="1" ht="24.75" customHeight="1">
      <c r="A10" s="12"/>
      <c r="B10" s="11" t="s">
        <v>8</v>
      </c>
      <c r="C10" s="11"/>
      <c r="D10" s="19">
        <f>SUM(D6:D9)</f>
        <v>699</v>
      </c>
      <c r="E10" s="19">
        <f>SUM(E6:E9)</f>
        <v>427.3</v>
      </c>
      <c r="F10" s="100">
        <f>+E10/D10</f>
        <v>0.6113018597997139</v>
      </c>
      <c r="G10" s="111">
        <f>SUM(G6:G9)</f>
        <v>0</v>
      </c>
      <c r="H10" s="111">
        <f>SUM(H6:H9)</f>
        <v>246.7</v>
      </c>
      <c r="I10" s="13"/>
    </row>
    <row r="11" spans="1:9" ht="24.75" customHeight="1">
      <c r="A11" s="7">
        <v>5</v>
      </c>
      <c r="B11" s="8" t="s">
        <v>129</v>
      </c>
      <c r="C11" s="261">
        <v>3</v>
      </c>
      <c r="D11" s="18">
        <v>77</v>
      </c>
      <c r="E11" s="18">
        <v>77</v>
      </c>
      <c r="F11" s="131">
        <f>+E11/D11</f>
        <v>1</v>
      </c>
      <c r="G11" s="110"/>
      <c r="H11" s="110"/>
      <c r="I11" s="9"/>
    </row>
    <row r="12" spans="1:9" ht="24.75" customHeight="1">
      <c r="A12" s="7">
        <v>6</v>
      </c>
      <c r="B12" s="8" t="s">
        <v>11</v>
      </c>
      <c r="C12" s="262"/>
      <c r="D12" s="18">
        <v>372</v>
      </c>
      <c r="E12" s="18">
        <f>198.19+61.17</f>
        <v>259.36</v>
      </c>
      <c r="F12" s="131">
        <f>+E12/D12</f>
        <v>0.6972043010752689</v>
      </c>
      <c r="G12" s="110"/>
      <c r="H12" s="110">
        <v>112.64</v>
      </c>
      <c r="I12" s="9"/>
    </row>
    <row r="13" spans="1:9" ht="57.75" customHeight="1">
      <c r="A13" s="7">
        <v>7</v>
      </c>
      <c r="B13" s="8" t="s">
        <v>12</v>
      </c>
      <c r="C13" s="263"/>
      <c r="D13" s="18">
        <v>140</v>
      </c>
      <c r="E13" s="18">
        <f>12.59+11.89</f>
        <v>24.48</v>
      </c>
      <c r="F13" s="131">
        <f>+E13/D13</f>
        <v>0.17485714285714285</v>
      </c>
      <c r="G13" s="110"/>
      <c r="H13" s="110">
        <v>115.52</v>
      </c>
      <c r="I13" s="117" t="s">
        <v>161</v>
      </c>
    </row>
    <row r="14" spans="1:9" s="6" customFormat="1" ht="30.75" customHeight="1">
      <c r="A14" s="12"/>
      <c r="B14" s="11" t="s">
        <v>8</v>
      </c>
      <c r="C14" s="11"/>
      <c r="D14" s="19">
        <f>SUM(D11:D13)</f>
        <v>589</v>
      </c>
      <c r="E14" s="19">
        <f>SUM(E11:E13)</f>
        <v>360.84000000000003</v>
      </c>
      <c r="F14" s="100">
        <f>+E14/D14</f>
        <v>0.6126315789473685</v>
      </c>
      <c r="G14" s="111">
        <f>SUM(G11:G13)</f>
        <v>0</v>
      </c>
      <c r="H14" s="111">
        <f>SUM(H11:H13)</f>
        <v>228.16</v>
      </c>
      <c r="I14" s="13"/>
    </row>
    <row r="15" spans="1:9" ht="24.75" customHeight="1">
      <c r="A15" s="7"/>
      <c r="B15" s="8"/>
      <c r="C15" s="8"/>
      <c r="D15" s="18"/>
      <c r="E15" s="18"/>
      <c r="F15" s="99"/>
      <c r="G15" s="110"/>
      <c r="H15" s="110"/>
      <c r="I15" s="9"/>
    </row>
    <row r="16" spans="1:9" s="6" customFormat="1" ht="18" customHeight="1">
      <c r="A16" s="12"/>
      <c r="B16" s="11" t="s">
        <v>5</v>
      </c>
      <c r="C16" s="11"/>
      <c r="D16" s="19">
        <f>+D14+D10</f>
        <v>1288</v>
      </c>
      <c r="E16" s="19">
        <f>+E14+E10</f>
        <v>788.1400000000001</v>
      </c>
      <c r="F16" s="100">
        <f>+E16/D16</f>
        <v>0.6119099378881988</v>
      </c>
      <c r="G16" s="111">
        <f>+G14+G10</f>
        <v>0</v>
      </c>
      <c r="H16" s="111">
        <f>+H14+H10</f>
        <v>474.86</v>
      </c>
      <c r="I16" s="13"/>
    </row>
    <row r="18" spans="2:9" ht="29.25" customHeight="1">
      <c r="B18" s="264" t="s">
        <v>145</v>
      </c>
      <c r="C18" s="264"/>
      <c r="D18" s="264"/>
      <c r="E18" s="264"/>
      <c r="F18" s="264"/>
      <c r="G18" s="264"/>
      <c r="H18" s="264"/>
      <c r="I18" s="264"/>
    </row>
    <row r="19" spans="1:9" s="83" customFormat="1" ht="15" customHeight="1">
      <c r="A19" s="69"/>
      <c r="B19" s="137"/>
      <c r="C19" s="137"/>
      <c r="D19" s="137"/>
      <c r="E19" s="137"/>
      <c r="F19" s="137"/>
      <c r="G19" s="137"/>
      <c r="H19" s="137"/>
      <c r="I19" s="137"/>
    </row>
    <row r="20" ht="15">
      <c r="I20" s="4" t="s">
        <v>19</v>
      </c>
    </row>
    <row r="21" ht="15">
      <c r="I21" s="4" t="s">
        <v>20</v>
      </c>
    </row>
  </sheetData>
  <sheetProtection/>
  <mergeCells count="5">
    <mergeCell ref="A2:I2"/>
    <mergeCell ref="A3:I3"/>
    <mergeCell ref="C6:C9"/>
    <mergeCell ref="C11:C13"/>
    <mergeCell ref="B18:I18"/>
  </mergeCells>
  <printOptions/>
  <pageMargins left="0.7" right="0.25" top="0.5" bottom="0.61" header="0.3" footer="0.3"/>
  <pageSetup horizontalDpi="600" verticalDpi="600" orientation="landscape" paperSize="9" scale="93" r:id="rId1"/>
  <headerFooter>
    <oddFooter>&amp;L&amp;8&amp;F&amp;A&amp;CPage &amp;P&amp;R&amp;8&amp;D&amp;T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2017-01-13T05:41:25Z</dcterms:modified>
  <cp:category/>
  <cp:version/>
  <cp:contentType/>
  <cp:contentStatus/>
</cp:coreProperties>
</file>